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이세연 백업\lee\01. 예산결산서\2025년 추경\"/>
    </mc:Choice>
  </mc:AlternateContent>
  <xr:revisionPtr revIDLastSave="0" documentId="13_ncr:1_{45C4A05C-8106-4B69-8332-64F2BC386947}" xr6:coauthVersionLast="47" xr6:coauthVersionMax="47" xr10:uidLastSave="{00000000-0000-0000-0000-000000000000}"/>
  <bookViews>
    <workbookView xWindow="-120" yWindow="-120" windowWidth="29040" windowHeight="15840" activeTab="4" xr2:uid="{785BDA42-8CAA-4122-B37C-91DBB1613E74}"/>
  </bookViews>
  <sheets>
    <sheet name="2025년 표지" sheetId="2" r:id="rId1"/>
    <sheet name="세입세출총괄표" sheetId="8" r:id="rId2"/>
    <sheet name="세입세출요약표" sheetId="7" r:id="rId3"/>
    <sheet name="세입추경예산서(음영)" sheetId="12" state="hidden" r:id="rId4"/>
    <sheet name="세입추경예산서" sheetId="10" r:id="rId5"/>
    <sheet name="세출추경예산서" sheetId="11" r:id="rId6"/>
    <sheet name="직원보수일람표" sheetId="1" r:id="rId7"/>
    <sheet name="세입예산서 사통망작성용" sheetId="9" state="hidden" r:id="rId8"/>
  </sheets>
  <definedNames>
    <definedName name="_xlnm.Print_Area" localSheetId="0">'2025년 표지'!$A$1:$B$22</definedName>
    <definedName name="_xlnm.Print_Area" localSheetId="2">세입세출요약표!$A$1:$N$62</definedName>
    <definedName name="_xlnm.Print_Area" localSheetId="1">세입세출총괄표!$A$1:$L$23</definedName>
    <definedName name="_xlnm.Print_Area" localSheetId="7">'세입예산서 사통망작성용'!$A$1:$K$149</definedName>
    <definedName name="_xlnm.Print_Area" localSheetId="4">세입추경예산서!$A$1:$N$219</definedName>
    <definedName name="_xlnm.Print_Area" localSheetId="3">'세입추경예산서(음영)'!$A$1:$K$174</definedName>
    <definedName name="_xlnm.Print_Area" localSheetId="5">세출추경예산서!$A$1:$N$338</definedName>
    <definedName name="_xlnm.Print_Area" localSheetId="6">직원보수일람표!$A$1:$N$27</definedName>
    <definedName name="_xlnm.Print_Titles" localSheetId="7">'세입예산서 사통망작성용'!$1:$4</definedName>
    <definedName name="_xlnm.Print_Titles" localSheetId="4">세입추경예산서!$1:$4</definedName>
    <definedName name="_xlnm.Print_Titles" localSheetId="3">'세입추경예산서(음영)'!$1:$4</definedName>
    <definedName name="_xlnm.Print_Titles" localSheetId="5">세출추경예산서!$1:$4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4" i="11" l="1"/>
  <c r="T302" i="11"/>
  <c r="T228" i="11"/>
  <c r="S228" i="11"/>
  <c r="R228" i="11"/>
  <c r="Q228" i="11"/>
  <c r="P228" i="11"/>
  <c r="N149" i="11" l="1"/>
  <c r="N10" i="10" l="1"/>
  <c r="N228" i="11"/>
  <c r="N188" i="11"/>
  <c r="V336" i="11"/>
  <c r="V335" i="11"/>
  <c r="V334" i="11"/>
  <c r="V333" i="11"/>
  <c r="V332" i="11"/>
  <c r="V331" i="11"/>
  <c r="V330" i="11"/>
  <c r="V329" i="11"/>
  <c r="V328" i="11"/>
  <c r="V327" i="11"/>
  <c r="V326" i="11"/>
  <c r="V325" i="11"/>
  <c r="V318" i="11"/>
  <c r="V314" i="11"/>
  <c r="V313" i="11"/>
  <c r="V312" i="11"/>
  <c r="V311" i="11"/>
  <c r="V310" i="11"/>
  <c r="V309" i="11"/>
  <c r="V308" i="11"/>
  <c r="V307" i="11"/>
  <c r="V306" i="11"/>
  <c r="V305" i="11"/>
  <c r="V304" i="11"/>
  <c r="V303" i="11"/>
  <c r="V302" i="11"/>
  <c r="V301" i="11"/>
  <c r="V300" i="11"/>
  <c r="V299" i="11"/>
  <c r="V298" i="11"/>
  <c r="V297" i="11"/>
  <c r="V296" i="11"/>
  <c r="V295" i="11"/>
  <c r="V294" i="11"/>
  <c r="V293" i="11"/>
  <c r="V292" i="11"/>
  <c r="V291" i="11"/>
  <c r="V290" i="11"/>
  <c r="V289" i="11"/>
  <c r="V288" i="11"/>
  <c r="V287" i="11"/>
  <c r="V286" i="11"/>
  <c r="V285" i="11"/>
  <c r="V284" i="11"/>
  <c r="V283" i="11"/>
  <c r="V282" i="11"/>
  <c r="V281" i="11"/>
  <c r="V280" i="11"/>
  <c r="V279" i="11"/>
  <c r="V278" i="11"/>
  <c r="V277" i="11"/>
  <c r="V276" i="11"/>
  <c r="V275" i="11"/>
  <c r="V274" i="11"/>
  <c r="V273" i="11"/>
  <c r="V272" i="11"/>
  <c r="V271" i="11"/>
  <c r="V270" i="11"/>
  <c r="V269" i="11"/>
  <c r="V268" i="11"/>
  <c r="V267" i="11"/>
  <c r="V266" i="11"/>
  <c r="V264" i="11"/>
  <c r="V263" i="11"/>
  <c r="V262" i="11"/>
  <c r="V261" i="11"/>
  <c r="V260" i="11"/>
  <c r="V259" i="11"/>
  <c r="V256" i="11"/>
  <c r="V253" i="11"/>
  <c r="V252" i="11"/>
  <c r="V251" i="11"/>
  <c r="V250" i="11"/>
  <c r="V249" i="11"/>
  <c r="V248" i="11"/>
  <c r="V247" i="11"/>
  <c r="V246" i="11"/>
  <c r="V245" i="11"/>
  <c r="V244" i="11"/>
  <c r="V243" i="11"/>
  <c r="V242" i="11"/>
  <c r="V241" i="11"/>
  <c r="V240" i="11"/>
  <c r="V239" i="11"/>
  <c r="V238" i="11"/>
  <c r="V237" i="11"/>
  <c r="V236" i="11"/>
  <c r="V235" i="11"/>
  <c r="V234" i="11"/>
  <c r="V233" i="11"/>
  <c r="V232" i="11"/>
  <c r="V231" i="11"/>
  <c r="V230" i="11"/>
  <c r="V229" i="11"/>
  <c r="V227" i="11"/>
  <c r="V226" i="11"/>
  <c r="V224" i="11"/>
  <c r="V223" i="11"/>
  <c r="V222" i="11"/>
  <c r="V221" i="11"/>
  <c r="V220" i="11"/>
  <c r="V219" i="11"/>
  <c r="V218" i="11"/>
  <c r="V217" i="11"/>
  <c r="V216" i="11"/>
  <c r="V215" i="11"/>
  <c r="V214" i="11"/>
  <c r="V212" i="11"/>
  <c r="V211" i="11"/>
  <c r="V210" i="11"/>
  <c r="V208" i="11"/>
  <c r="V207" i="11"/>
  <c r="V206" i="11"/>
  <c r="V203" i="11"/>
  <c r="V202" i="11"/>
  <c r="V201" i="11"/>
  <c r="V200" i="11"/>
  <c r="V199" i="11"/>
  <c r="V198" i="11"/>
  <c r="V197" i="11"/>
  <c r="V196" i="11"/>
  <c r="V195" i="11"/>
  <c r="V194" i="11"/>
  <c r="V193" i="11"/>
  <c r="V192" i="11"/>
  <c r="V191" i="11"/>
  <c r="V190" i="11"/>
  <c r="V189" i="11"/>
  <c r="V188" i="11"/>
  <c r="V187" i="11"/>
  <c r="V186" i="11"/>
  <c r="V185" i="11"/>
  <c r="V184" i="11"/>
  <c r="V183" i="11"/>
  <c r="V182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165" i="11"/>
  <c r="V164" i="11"/>
  <c r="V163" i="11"/>
  <c r="V162" i="11"/>
  <c r="V161" i="11"/>
  <c r="V160" i="11"/>
  <c r="V159" i="11"/>
  <c r="U337" i="11"/>
  <c r="T337" i="11"/>
  <c r="S337" i="11"/>
  <c r="R337" i="11"/>
  <c r="Q337" i="11"/>
  <c r="P337" i="11"/>
  <c r="N337" i="11"/>
  <c r="E337" i="11" s="1"/>
  <c r="G337" i="11" s="1"/>
  <c r="N336" i="11"/>
  <c r="E336" i="11" s="1"/>
  <c r="G336" i="11" s="1"/>
  <c r="P336" i="11"/>
  <c r="Q336" i="11"/>
  <c r="R336" i="11"/>
  <c r="S336" i="11"/>
  <c r="T336" i="11"/>
  <c r="U336" i="11"/>
  <c r="N182" i="10"/>
  <c r="I182" i="10"/>
  <c r="N176" i="10"/>
  <c r="N179" i="10"/>
  <c r="I179" i="10"/>
  <c r="N199" i="10"/>
  <c r="N200" i="10"/>
  <c r="I200" i="10"/>
  <c r="N192" i="10"/>
  <c r="N191" i="10" s="1"/>
  <c r="V337" i="11" l="1"/>
  <c r="O155" i="11"/>
  <c r="G293" i="11"/>
  <c r="N311" i="11" l="1"/>
  <c r="U338" i="11"/>
  <c r="T338" i="11"/>
  <c r="S338" i="11"/>
  <c r="R338" i="11"/>
  <c r="Q338" i="11"/>
  <c r="U335" i="11"/>
  <c r="T335" i="11"/>
  <c r="S335" i="11"/>
  <c r="R335" i="11"/>
  <c r="Q335" i="11"/>
  <c r="U334" i="11"/>
  <c r="T334" i="11"/>
  <c r="S334" i="11"/>
  <c r="R334" i="11"/>
  <c r="Q334" i="11"/>
  <c r="U333" i="11"/>
  <c r="T333" i="11"/>
  <c r="S333" i="11"/>
  <c r="R333" i="11"/>
  <c r="Q333" i="11"/>
  <c r="U332" i="11"/>
  <c r="T332" i="11"/>
  <c r="S332" i="11"/>
  <c r="R332" i="11"/>
  <c r="Q332" i="11"/>
  <c r="U331" i="11"/>
  <c r="T331" i="11"/>
  <c r="S331" i="11"/>
  <c r="R331" i="11"/>
  <c r="Q331" i="11"/>
  <c r="U330" i="11"/>
  <c r="T330" i="11"/>
  <c r="S330" i="11"/>
  <c r="R330" i="11"/>
  <c r="Q330" i="11"/>
  <c r="U329" i="11"/>
  <c r="T329" i="11"/>
  <c r="S329" i="11"/>
  <c r="R329" i="11"/>
  <c r="Q329" i="11"/>
  <c r="U328" i="11"/>
  <c r="T328" i="11"/>
  <c r="S328" i="11"/>
  <c r="R328" i="11"/>
  <c r="Q328" i="11"/>
  <c r="U327" i="11"/>
  <c r="T327" i="11"/>
  <c r="S327" i="11"/>
  <c r="R327" i="11"/>
  <c r="Q327" i="11"/>
  <c r="U326" i="11"/>
  <c r="T326" i="11"/>
  <c r="S326" i="11"/>
  <c r="R326" i="11"/>
  <c r="Q326" i="11"/>
  <c r="U321" i="11"/>
  <c r="T321" i="11"/>
  <c r="S321" i="11"/>
  <c r="R321" i="11"/>
  <c r="Q321" i="11"/>
  <c r="P321" i="11"/>
  <c r="U320" i="11"/>
  <c r="T320" i="11"/>
  <c r="S320" i="11"/>
  <c r="R320" i="11"/>
  <c r="Q320" i="11"/>
  <c r="P320" i="11"/>
  <c r="U319" i="11"/>
  <c r="T319" i="11"/>
  <c r="S319" i="11"/>
  <c r="R319" i="11"/>
  <c r="Q319" i="11"/>
  <c r="P319" i="11"/>
  <c r="U318" i="11"/>
  <c r="T318" i="11"/>
  <c r="S318" i="11"/>
  <c r="R318" i="11"/>
  <c r="Q318" i="11"/>
  <c r="P318" i="11"/>
  <c r="U313" i="11"/>
  <c r="S313" i="11"/>
  <c r="R313" i="11"/>
  <c r="Q313" i="11"/>
  <c r="P313" i="11"/>
  <c r="U312" i="11"/>
  <c r="T312" i="11"/>
  <c r="R312" i="11"/>
  <c r="Q312" i="11"/>
  <c r="P312" i="11"/>
  <c r="U311" i="11"/>
  <c r="T311" i="11"/>
  <c r="S311" i="11"/>
  <c r="R311" i="11"/>
  <c r="Q311" i="11"/>
  <c r="P311" i="11"/>
  <c r="U310" i="11"/>
  <c r="T310" i="11"/>
  <c r="S310" i="11"/>
  <c r="R310" i="11"/>
  <c r="P310" i="11"/>
  <c r="U309" i="11"/>
  <c r="T309" i="11"/>
  <c r="S309" i="11"/>
  <c r="R309" i="11"/>
  <c r="Q309" i="11"/>
  <c r="U308" i="11"/>
  <c r="T308" i="11"/>
  <c r="S308" i="11"/>
  <c r="R308" i="11"/>
  <c r="Q308" i="11"/>
  <c r="P308" i="11"/>
  <c r="U307" i="11"/>
  <c r="S307" i="11"/>
  <c r="R307" i="11"/>
  <c r="Q307" i="11"/>
  <c r="P307" i="11"/>
  <c r="U306" i="11"/>
  <c r="S306" i="11"/>
  <c r="R306" i="11"/>
  <c r="Q306" i="11"/>
  <c r="P306" i="11"/>
  <c r="U305" i="11"/>
  <c r="T305" i="11"/>
  <c r="S305" i="11"/>
  <c r="R305" i="11"/>
  <c r="P305" i="11"/>
  <c r="U304" i="11"/>
  <c r="S304" i="11"/>
  <c r="R304" i="11"/>
  <c r="Q304" i="11"/>
  <c r="P304" i="11"/>
  <c r="U303" i="11"/>
  <c r="S303" i="11"/>
  <c r="R303" i="11"/>
  <c r="Q303" i="11"/>
  <c r="P303" i="11"/>
  <c r="U302" i="11"/>
  <c r="S302" i="11"/>
  <c r="R302" i="11"/>
  <c r="Q302" i="11"/>
  <c r="P302" i="11"/>
  <c r="T301" i="11"/>
  <c r="S301" i="11"/>
  <c r="R301" i="11"/>
  <c r="Q301" i="11"/>
  <c r="P301" i="11"/>
  <c r="U300" i="11"/>
  <c r="T300" i="11"/>
  <c r="S300" i="11"/>
  <c r="R300" i="11"/>
  <c r="Q300" i="11"/>
  <c r="P300" i="11"/>
  <c r="U299" i="11"/>
  <c r="T299" i="11"/>
  <c r="S299" i="11"/>
  <c r="R299" i="11"/>
  <c r="P299" i="11"/>
  <c r="U298" i="11"/>
  <c r="T298" i="11"/>
  <c r="S298" i="11"/>
  <c r="Q298" i="11"/>
  <c r="P298" i="11"/>
  <c r="U297" i="11"/>
  <c r="T297" i="11"/>
  <c r="S297" i="11"/>
  <c r="Q297" i="11"/>
  <c r="P297" i="11"/>
  <c r="U296" i="11"/>
  <c r="T296" i="11"/>
  <c r="S296" i="11"/>
  <c r="R296" i="11"/>
  <c r="P296" i="11"/>
  <c r="U295" i="11"/>
  <c r="T295" i="11"/>
  <c r="S295" i="11"/>
  <c r="R295" i="11"/>
  <c r="Q295" i="11"/>
  <c r="P295" i="11"/>
  <c r="U294" i="11"/>
  <c r="T294" i="11"/>
  <c r="S294" i="11"/>
  <c r="R294" i="11"/>
  <c r="Q294" i="11"/>
  <c r="U293" i="11"/>
  <c r="T293" i="11"/>
  <c r="S293" i="11"/>
  <c r="R293" i="11"/>
  <c r="P293" i="11"/>
  <c r="U292" i="11"/>
  <c r="T292" i="11"/>
  <c r="S292" i="11"/>
  <c r="Q292" i="11"/>
  <c r="P292" i="11"/>
  <c r="U291" i="11"/>
  <c r="S291" i="11"/>
  <c r="R291" i="11"/>
  <c r="Q291" i="11"/>
  <c r="P291" i="11"/>
  <c r="U290" i="11"/>
  <c r="S290" i="11"/>
  <c r="R290" i="11"/>
  <c r="Q290" i="11"/>
  <c r="P290" i="11"/>
  <c r="U289" i="11"/>
  <c r="T289" i="11"/>
  <c r="S289" i="11"/>
  <c r="R289" i="11"/>
  <c r="Q289" i="11"/>
  <c r="P289" i="11"/>
  <c r="U288" i="11"/>
  <c r="T288" i="11"/>
  <c r="S288" i="11"/>
  <c r="R288" i="11"/>
  <c r="Q288" i="11"/>
  <c r="U287" i="11"/>
  <c r="T287" i="11"/>
  <c r="S287" i="11"/>
  <c r="R287" i="11"/>
  <c r="Q287" i="11"/>
  <c r="U286" i="11"/>
  <c r="T286" i="11"/>
  <c r="S286" i="11"/>
  <c r="R286" i="11"/>
  <c r="Q286" i="11"/>
  <c r="P286" i="11"/>
  <c r="U285" i="11"/>
  <c r="T285" i="11"/>
  <c r="S285" i="11"/>
  <c r="R285" i="11"/>
  <c r="Q285" i="11"/>
  <c r="U284" i="11"/>
  <c r="T284" i="11"/>
  <c r="S284" i="11"/>
  <c r="R284" i="11"/>
  <c r="Q284" i="11"/>
  <c r="P284" i="11"/>
  <c r="U283" i="11"/>
  <c r="T283" i="11"/>
  <c r="S283" i="11"/>
  <c r="R283" i="11"/>
  <c r="Q283" i="11"/>
  <c r="P283" i="11"/>
  <c r="U282" i="11"/>
  <c r="T282" i="11"/>
  <c r="S282" i="11"/>
  <c r="R282" i="11"/>
  <c r="Q282" i="11"/>
  <c r="U281" i="11"/>
  <c r="T281" i="11"/>
  <c r="S281" i="11"/>
  <c r="R281" i="11"/>
  <c r="Q281" i="11"/>
  <c r="P281" i="11"/>
  <c r="U280" i="11"/>
  <c r="T280" i="11"/>
  <c r="S280" i="11"/>
  <c r="R280" i="11"/>
  <c r="Q280" i="11"/>
  <c r="U279" i="11"/>
  <c r="T279" i="11"/>
  <c r="S279" i="11"/>
  <c r="R279" i="11"/>
  <c r="Q279" i="11"/>
  <c r="P279" i="11"/>
  <c r="U278" i="11"/>
  <c r="S278" i="11"/>
  <c r="R278" i="11"/>
  <c r="Q278" i="11"/>
  <c r="P278" i="11"/>
  <c r="U277" i="11"/>
  <c r="T277" i="11"/>
  <c r="S277" i="11"/>
  <c r="R277" i="11"/>
  <c r="P277" i="11"/>
  <c r="U276" i="11"/>
  <c r="T276" i="11"/>
  <c r="S276" i="11"/>
  <c r="R276" i="11"/>
  <c r="Q276" i="11"/>
  <c r="P276" i="11"/>
  <c r="U275" i="11"/>
  <c r="T275" i="11"/>
  <c r="S275" i="11"/>
  <c r="R275" i="11"/>
  <c r="Q275" i="11"/>
  <c r="U274" i="11"/>
  <c r="T274" i="11"/>
  <c r="S274" i="11"/>
  <c r="R274" i="11"/>
  <c r="Q274" i="11"/>
  <c r="U267" i="11"/>
  <c r="T267" i="11"/>
  <c r="S267" i="11"/>
  <c r="R267" i="11"/>
  <c r="Q267" i="11"/>
  <c r="U266" i="11"/>
  <c r="S266" i="11"/>
  <c r="R266" i="11"/>
  <c r="Q266" i="11"/>
  <c r="P266" i="11"/>
  <c r="U263" i="11"/>
  <c r="T263" i="11"/>
  <c r="S263" i="11"/>
  <c r="R263" i="11"/>
  <c r="Q263" i="11"/>
  <c r="U262" i="11"/>
  <c r="T262" i="11"/>
  <c r="S262" i="11"/>
  <c r="R262" i="11"/>
  <c r="Q262" i="11"/>
  <c r="U253" i="11"/>
  <c r="T253" i="11"/>
  <c r="S253" i="11"/>
  <c r="R253" i="11"/>
  <c r="Q253" i="11"/>
  <c r="U252" i="11"/>
  <c r="T252" i="11"/>
  <c r="S252" i="11"/>
  <c r="R252" i="11"/>
  <c r="Q252" i="11"/>
  <c r="U236" i="11"/>
  <c r="T236" i="11"/>
  <c r="S236" i="11"/>
  <c r="R236" i="11"/>
  <c r="P236" i="11"/>
  <c r="U235" i="11"/>
  <c r="T235" i="11"/>
  <c r="S235" i="11"/>
  <c r="Q235" i="11"/>
  <c r="P235" i="11"/>
  <c r="U232" i="11"/>
  <c r="T232" i="11"/>
  <c r="S232" i="11"/>
  <c r="Q232" i="11"/>
  <c r="P232" i="11"/>
  <c r="U231" i="11"/>
  <c r="T231" i="11"/>
  <c r="S231" i="11"/>
  <c r="R231" i="11"/>
  <c r="Q231" i="11"/>
  <c r="U230" i="11"/>
  <c r="T230" i="11"/>
  <c r="S230" i="11"/>
  <c r="R230" i="11"/>
  <c r="Q230" i="11"/>
  <c r="U229" i="11"/>
  <c r="S229" i="11"/>
  <c r="R229" i="11"/>
  <c r="Q229" i="11"/>
  <c r="P229" i="11"/>
  <c r="U227" i="11"/>
  <c r="T227" i="11"/>
  <c r="S227" i="11"/>
  <c r="Q227" i="11"/>
  <c r="P227" i="11"/>
  <c r="U226" i="11"/>
  <c r="T226" i="11"/>
  <c r="S226" i="11"/>
  <c r="R226" i="11"/>
  <c r="Q226" i="11"/>
  <c r="U224" i="11"/>
  <c r="T224" i="11"/>
  <c r="S224" i="11"/>
  <c r="R224" i="11"/>
  <c r="Q224" i="11"/>
  <c r="U223" i="11"/>
  <c r="T223" i="11"/>
  <c r="S223" i="11"/>
  <c r="Q223" i="11"/>
  <c r="P223" i="11"/>
  <c r="U222" i="11"/>
  <c r="T222" i="11"/>
  <c r="S222" i="11"/>
  <c r="R222" i="11"/>
  <c r="Q222" i="11"/>
  <c r="P222" i="11"/>
  <c r="U221" i="11"/>
  <c r="T221" i="11"/>
  <c r="S221" i="11"/>
  <c r="R221" i="11"/>
  <c r="Q221" i="11"/>
  <c r="U220" i="11"/>
  <c r="T220" i="11"/>
  <c r="S220" i="11"/>
  <c r="R220" i="11"/>
  <c r="Q220" i="11"/>
  <c r="U219" i="11"/>
  <c r="T219" i="11"/>
  <c r="S219" i="11"/>
  <c r="R219" i="11"/>
  <c r="Q219" i="11"/>
  <c r="U218" i="11"/>
  <c r="T218" i="11"/>
  <c r="S218" i="11"/>
  <c r="R218" i="11"/>
  <c r="Q218" i="11"/>
  <c r="U217" i="11"/>
  <c r="T217" i="11"/>
  <c r="S217" i="11"/>
  <c r="R217" i="11"/>
  <c r="Q217" i="11"/>
  <c r="U216" i="11"/>
  <c r="T216" i="11"/>
  <c r="S216" i="11"/>
  <c r="R216" i="11"/>
  <c r="Q216" i="11"/>
  <c r="U215" i="11"/>
  <c r="T215" i="11"/>
  <c r="S215" i="11"/>
  <c r="R215" i="11"/>
  <c r="Q215" i="11"/>
  <c r="U214" i="11"/>
  <c r="T214" i="11"/>
  <c r="S214" i="11"/>
  <c r="R214" i="11"/>
  <c r="Q214" i="11"/>
  <c r="U212" i="11"/>
  <c r="T212" i="11"/>
  <c r="S212" i="11"/>
  <c r="R212" i="11"/>
  <c r="Q212" i="11"/>
  <c r="U211" i="11"/>
  <c r="T211" i="11"/>
  <c r="S211" i="11"/>
  <c r="R211" i="11"/>
  <c r="Q211" i="11"/>
  <c r="U210" i="11"/>
  <c r="T210" i="11"/>
  <c r="S210" i="11"/>
  <c r="R210" i="11"/>
  <c r="Q210" i="11"/>
  <c r="U208" i="11"/>
  <c r="T208" i="11"/>
  <c r="S208" i="11"/>
  <c r="R208" i="11"/>
  <c r="Q208" i="11"/>
  <c r="U207" i="11"/>
  <c r="T207" i="11"/>
  <c r="S207" i="11"/>
  <c r="R207" i="11"/>
  <c r="Q207" i="11"/>
  <c r="U206" i="11"/>
  <c r="T206" i="11"/>
  <c r="S206" i="11"/>
  <c r="R206" i="11"/>
  <c r="Q206" i="11"/>
  <c r="U203" i="11"/>
  <c r="T203" i="11"/>
  <c r="S203" i="11"/>
  <c r="R203" i="11"/>
  <c r="Q203" i="11"/>
  <c r="U202" i="11"/>
  <c r="T202" i="11"/>
  <c r="S202" i="11"/>
  <c r="R202" i="11"/>
  <c r="Q202" i="11"/>
  <c r="U201" i="11"/>
  <c r="T201" i="11"/>
  <c r="S201" i="11"/>
  <c r="R201" i="11"/>
  <c r="Q201" i="11"/>
  <c r="U200" i="11"/>
  <c r="T200" i="11"/>
  <c r="S200" i="11"/>
  <c r="R200" i="11"/>
  <c r="P200" i="11"/>
  <c r="U199" i="11"/>
  <c r="T199" i="11"/>
  <c r="R199" i="11"/>
  <c r="Q199" i="11"/>
  <c r="P199" i="11"/>
  <c r="U198" i="11"/>
  <c r="T198" i="11"/>
  <c r="R198" i="11"/>
  <c r="Q198" i="11"/>
  <c r="P198" i="11"/>
  <c r="U197" i="11"/>
  <c r="S197" i="11"/>
  <c r="R197" i="11"/>
  <c r="Q197" i="11"/>
  <c r="P197" i="11"/>
  <c r="U196" i="11"/>
  <c r="T196" i="11"/>
  <c r="S196" i="11"/>
  <c r="Q196" i="11"/>
  <c r="P196" i="11"/>
  <c r="U195" i="11"/>
  <c r="T195" i="11"/>
  <c r="S195" i="11"/>
  <c r="R195" i="11"/>
  <c r="Q195" i="11"/>
  <c r="U194" i="11"/>
  <c r="T194" i="11"/>
  <c r="S194" i="11"/>
  <c r="R194" i="11"/>
  <c r="P194" i="11"/>
  <c r="U193" i="11"/>
  <c r="S193" i="11"/>
  <c r="R193" i="11"/>
  <c r="Q193" i="11"/>
  <c r="P193" i="11"/>
  <c r="U192" i="11"/>
  <c r="T192" i="11"/>
  <c r="R192" i="11"/>
  <c r="Q192" i="11"/>
  <c r="P192" i="11"/>
  <c r="U191" i="11"/>
  <c r="T191" i="11"/>
  <c r="R191" i="11"/>
  <c r="Q191" i="11"/>
  <c r="P191" i="11"/>
  <c r="U190" i="11"/>
  <c r="T190" i="11"/>
  <c r="S190" i="11"/>
  <c r="Q190" i="11"/>
  <c r="P190" i="11"/>
  <c r="U189" i="11"/>
  <c r="T189" i="11"/>
  <c r="S189" i="11"/>
  <c r="R189" i="11"/>
  <c r="Q189" i="11"/>
  <c r="U188" i="11"/>
  <c r="T188" i="11"/>
  <c r="S188" i="11"/>
  <c r="R188" i="11"/>
  <c r="P188" i="11"/>
  <c r="U187" i="11"/>
  <c r="S187" i="11"/>
  <c r="R187" i="11"/>
  <c r="Q187" i="11"/>
  <c r="P187" i="11"/>
  <c r="U186" i="11"/>
  <c r="T186" i="11"/>
  <c r="R186" i="11"/>
  <c r="Q186" i="11"/>
  <c r="P186" i="11"/>
  <c r="U185" i="11"/>
  <c r="T185" i="11"/>
  <c r="R185" i="11"/>
  <c r="Q185" i="11"/>
  <c r="P185" i="11"/>
  <c r="U184" i="11"/>
  <c r="T184" i="11"/>
  <c r="S184" i="11"/>
  <c r="R184" i="11"/>
  <c r="Q184" i="11"/>
  <c r="U183" i="11"/>
  <c r="T183" i="11"/>
  <c r="S183" i="11"/>
  <c r="R183" i="11"/>
  <c r="Q183" i="11"/>
  <c r="U182" i="11"/>
  <c r="T182" i="11"/>
  <c r="S182" i="11"/>
  <c r="R182" i="11"/>
  <c r="Q182" i="11"/>
  <c r="U180" i="11"/>
  <c r="T180" i="11"/>
  <c r="S180" i="11"/>
  <c r="R180" i="11"/>
  <c r="P180" i="11"/>
  <c r="U179" i="11"/>
  <c r="S179" i="11"/>
  <c r="R179" i="11"/>
  <c r="Q179" i="11"/>
  <c r="P179" i="11"/>
  <c r="U178" i="11"/>
  <c r="S178" i="11"/>
  <c r="R178" i="11"/>
  <c r="Q178" i="11"/>
  <c r="P178" i="11"/>
  <c r="U177" i="11"/>
  <c r="T177" i="11"/>
  <c r="S177" i="11"/>
  <c r="R177" i="11"/>
  <c r="P177" i="11"/>
  <c r="U176" i="11"/>
  <c r="T176" i="11"/>
  <c r="S176" i="11"/>
  <c r="R176" i="11"/>
  <c r="Q176" i="11"/>
  <c r="U175" i="11"/>
  <c r="T175" i="11"/>
  <c r="S175" i="11"/>
  <c r="R175" i="11"/>
  <c r="Q175" i="11"/>
  <c r="U174" i="11"/>
  <c r="T174" i="11"/>
  <c r="S174" i="11"/>
  <c r="R174" i="11"/>
  <c r="Q174" i="11"/>
  <c r="U173" i="11"/>
  <c r="T173" i="11"/>
  <c r="S173" i="11"/>
  <c r="R173" i="11"/>
  <c r="Q173" i="11"/>
  <c r="U172" i="11"/>
  <c r="T172" i="11"/>
  <c r="S172" i="11"/>
  <c r="R172" i="11"/>
  <c r="Q172" i="11"/>
  <c r="U171" i="11"/>
  <c r="T171" i="11"/>
  <c r="S171" i="11"/>
  <c r="R171" i="11"/>
  <c r="Q171" i="11"/>
  <c r="U170" i="11"/>
  <c r="T170" i="11"/>
  <c r="S170" i="11"/>
  <c r="R170" i="11"/>
  <c r="Q170" i="11"/>
  <c r="U169" i="11"/>
  <c r="T169" i="11"/>
  <c r="S169" i="11"/>
  <c r="R169" i="11"/>
  <c r="Q169" i="11"/>
  <c r="U168" i="11"/>
  <c r="T168" i="11"/>
  <c r="S168" i="11"/>
  <c r="Q168" i="11"/>
  <c r="P168" i="11"/>
  <c r="U167" i="11"/>
  <c r="T167" i="11"/>
  <c r="S167" i="11"/>
  <c r="R167" i="11"/>
  <c r="P167" i="11"/>
  <c r="U165" i="11"/>
  <c r="T165" i="11"/>
  <c r="S165" i="11"/>
  <c r="R165" i="11"/>
  <c r="Q165" i="11"/>
  <c r="U164" i="11"/>
  <c r="T164" i="11"/>
  <c r="S164" i="11"/>
  <c r="R164" i="11"/>
  <c r="Q164" i="11"/>
  <c r="U163" i="11"/>
  <c r="T163" i="11"/>
  <c r="S163" i="11"/>
  <c r="R163" i="11"/>
  <c r="Q163" i="11"/>
  <c r="U162" i="11"/>
  <c r="T162" i="11"/>
  <c r="S162" i="11"/>
  <c r="R162" i="11"/>
  <c r="Q162" i="11"/>
  <c r="U161" i="11"/>
  <c r="T161" i="11"/>
  <c r="S161" i="11"/>
  <c r="R161" i="11"/>
  <c r="Q161" i="11"/>
  <c r="U160" i="11"/>
  <c r="T160" i="11"/>
  <c r="S160" i="11"/>
  <c r="R160" i="11"/>
  <c r="Q160" i="11"/>
  <c r="U159" i="11"/>
  <c r="T159" i="11"/>
  <c r="S159" i="11"/>
  <c r="R159" i="11"/>
  <c r="Q159" i="11"/>
  <c r="I283" i="11"/>
  <c r="N199" i="11"/>
  <c r="S199" i="11" s="1"/>
  <c r="N193" i="11"/>
  <c r="T193" i="11" s="1"/>
  <c r="E189" i="10"/>
  <c r="N185" i="11"/>
  <c r="S185" i="11" s="1"/>
  <c r="N187" i="11" l="1"/>
  <c r="T187" i="11" s="1"/>
  <c r="N186" i="11"/>
  <c r="S186" i="11" s="1"/>
  <c r="N198" i="11"/>
  <c r="S198" i="11" s="1"/>
  <c r="N192" i="11"/>
  <c r="S192" i="11" s="1"/>
  <c r="N301" i="11"/>
  <c r="U301" i="11" s="1"/>
  <c r="N219" i="11" l="1"/>
  <c r="P219" i="11" s="1"/>
  <c r="N121" i="11" l="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67" i="11"/>
  <c r="N78" i="11"/>
  <c r="N79" i="11"/>
  <c r="N80" i="11"/>
  <c r="N70" i="11"/>
  <c r="N59" i="11"/>
  <c r="N77" i="11"/>
  <c r="N76" i="11"/>
  <c r="N75" i="11"/>
  <c r="N74" i="11"/>
  <c r="N73" i="11"/>
  <c r="N72" i="11"/>
  <c r="N71" i="11"/>
  <c r="N69" i="11"/>
  <c r="N68" i="11"/>
  <c r="N66" i="11"/>
  <c r="N65" i="11"/>
  <c r="N64" i="11"/>
  <c r="N63" i="11"/>
  <c r="N62" i="11"/>
  <c r="N61" i="11"/>
  <c r="N60" i="11"/>
  <c r="N58" i="11"/>
  <c r="N57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277" i="11"/>
  <c r="Q277" i="11" s="1"/>
  <c r="I300" i="11"/>
  <c r="N293" i="11"/>
  <c r="Q293" i="11" s="1"/>
  <c r="N334" i="11"/>
  <c r="P334" i="11" s="1"/>
  <c r="N335" i="11"/>
  <c r="P335" i="11" s="1"/>
  <c r="N331" i="11"/>
  <c r="P331" i="11" s="1"/>
  <c r="E334" i="11" l="1"/>
  <c r="G334" i="11" s="1"/>
  <c r="E335" i="11"/>
  <c r="G335" i="11" s="1"/>
  <c r="E331" i="11"/>
  <c r="G331" i="11" s="1"/>
  <c r="N326" i="11"/>
  <c r="P326" i="11" s="1"/>
  <c r="N327" i="11"/>
  <c r="P327" i="11" s="1"/>
  <c r="N328" i="11"/>
  <c r="P328" i="11" s="1"/>
  <c r="N329" i="11"/>
  <c r="P329" i="11" s="1"/>
  <c r="N330" i="11"/>
  <c r="N332" i="11"/>
  <c r="P332" i="11" s="1"/>
  <c r="N333" i="11"/>
  <c r="P333" i="11" s="1"/>
  <c r="N338" i="11"/>
  <c r="V338" i="11" s="1"/>
  <c r="P338" i="11" l="1"/>
  <c r="E330" i="11"/>
  <c r="G330" i="11" s="1"/>
  <c r="P330" i="11"/>
  <c r="E328" i="11"/>
  <c r="G328" i="11" s="1"/>
  <c r="E329" i="11"/>
  <c r="G329" i="11" s="1"/>
  <c r="E327" i="11"/>
  <c r="G327" i="11" s="1"/>
  <c r="E332" i="11"/>
  <c r="G332" i="11" s="1"/>
  <c r="N320" i="11" l="1"/>
  <c r="V320" i="11" s="1"/>
  <c r="N305" i="11"/>
  <c r="Q305" i="11" s="1"/>
  <c r="N304" i="11"/>
  <c r="T304" i="11" s="1"/>
  <c r="E305" i="11"/>
  <c r="G305" i="11" s="1"/>
  <c r="E304" i="11"/>
  <c r="G304" i="11" s="1"/>
  <c r="E302" i="11"/>
  <c r="G302" i="11" s="1"/>
  <c r="N302" i="11"/>
  <c r="D251" i="11"/>
  <c r="D256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D199" i="10"/>
  <c r="N177" i="10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D21" i="7"/>
  <c r="D31" i="7"/>
  <c r="D30" i="7" s="1"/>
  <c r="D29" i="7" s="1"/>
  <c r="E12" i="7"/>
  <c r="E11" i="7" s="1"/>
  <c r="D38" i="7"/>
  <c r="F37" i="7"/>
  <c r="D37" i="7"/>
  <c r="F36" i="7"/>
  <c r="D36" i="7"/>
  <c r="F35" i="7"/>
  <c r="D35" i="7"/>
  <c r="F34" i="7"/>
  <c r="D34" i="7"/>
  <c r="D33" i="7" s="1"/>
  <c r="D32" i="7" s="1"/>
  <c r="D25" i="7"/>
  <c r="D24" i="7"/>
  <c r="D20" i="7"/>
  <c r="D19" i="7"/>
  <c r="D18" i="7"/>
  <c r="D17" i="7"/>
  <c r="D16" i="7"/>
  <c r="D15" i="7"/>
  <c r="N203" i="10"/>
  <c r="E203" i="10" s="1"/>
  <c r="G203" i="10" s="1"/>
  <c r="E8" i="10"/>
  <c r="I80" i="10"/>
  <c r="N80" i="10" s="1"/>
  <c r="I79" i="10"/>
  <c r="N79" i="10" s="1"/>
  <c r="I78" i="10"/>
  <c r="N78" i="10" s="1"/>
  <c r="I77" i="10"/>
  <c r="N77" i="10" s="1"/>
  <c r="I76" i="10"/>
  <c r="N76" i="10" s="1"/>
  <c r="I75" i="10"/>
  <c r="N75" i="10" s="1"/>
  <c r="I74" i="10"/>
  <c r="N74" i="10" s="1"/>
  <c r="I73" i="10"/>
  <c r="N73" i="10" s="1"/>
  <c r="I72" i="10"/>
  <c r="N72" i="10" s="1"/>
  <c r="I71" i="10"/>
  <c r="N71" i="10" s="1"/>
  <c r="I70" i="10"/>
  <c r="N70" i="10" s="1"/>
  <c r="I69" i="10"/>
  <c r="N69" i="10" s="1"/>
  <c r="I68" i="10"/>
  <c r="N68" i="10" s="1"/>
  <c r="I67" i="10"/>
  <c r="N67" i="10" s="1"/>
  <c r="I66" i="10"/>
  <c r="N66" i="10" s="1"/>
  <c r="I65" i="10"/>
  <c r="N65" i="10" s="1"/>
  <c r="I64" i="10"/>
  <c r="N64" i="10" s="1"/>
  <c r="I63" i="10"/>
  <c r="N63" i="10" s="1"/>
  <c r="I62" i="10"/>
  <c r="N62" i="10" s="1"/>
  <c r="I61" i="10"/>
  <c r="N61" i="10" s="1"/>
  <c r="I60" i="10"/>
  <c r="N60" i="10" s="1"/>
  <c r="I59" i="10"/>
  <c r="N59" i="10" s="1"/>
  <c r="I58" i="10"/>
  <c r="N58" i="10" s="1"/>
  <c r="I57" i="10"/>
  <c r="N57" i="10" s="1"/>
  <c r="D14" i="7" l="1"/>
  <c r="D23" i="7"/>
  <c r="D22" i="7" s="1"/>
  <c r="E320" i="11"/>
  <c r="G320" i="11" s="1"/>
  <c r="D13" i="7"/>
  <c r="N13" i="10" l="1"/>
  <c r="N30" i="10"/>
  <c r="N165" i="10" l="1"/>
  <c r="N166" i="10"/>
  <c r="N178" i="10"/>
  <c r="E178" i="10" s="1"/>
  <c r="E177" i="10"/>
  <c r="N195" i="10"/>
  <c r="E195" i="10" s="1"/>
  <c r="E25" i="7" s="1"/>
  <c r="G25" i="7" s="1"/>
  <c r="I192" i="10"/>
  <c r="G219" i="10"/>
  <c r="N219" i="10"/>
  <c r="I208" i="10"/>
  <c r="N204" i="10"/>
  <c r="E204" i="10" s="1"/>
  <c r="G204" i="10" s="1"/>
  <c r="N202" i="10"/>
  <c r="E202" i="10" s="1"/>
  <c r="G202" i="10" l="1"/>
  <c r="D206" i="10"/>
  <c r="N173" i="10"/>
  <c r="N175" i="10"/>
  <c r="N7" i="10"/>
  <c r="D7" i="10"/>
  <c r="D6" i="10" s="1"/>
  <c r="E7" i="10"/>
  <c r="D259" i="11" l="1"/>
  <c r="N263" i="11" l="1"/>
  <c r="P263" i="11" s="1"/>
  <c r="N262" i="11"/>
  <c r="E262" i="11" l="1"/>
  <c r="P262" i="11"/>
  <c r="E263" i="11"/>
  <c r="N261" i="11"/>
  <c r="G263" i="11"/>
  <c r="G248" i="11"/>
  <c r="E313" i="11"/>
  <c r="E307" i="11"/>
  <c r="E306" i="11"/>
  <c r="E303" i="11"/>
  <c r="E299" i="11"/>
  <c r="E298" i="11"/>
  <c r="G298" i="11" s="1"/>
  <c r="E294" i="11"/>
  <c r="D191" i="10"/>
  <c r="G189" i="10"/>
  <c r="G178" i="10"/>
  <c r="G182" i="10"/>
  <c r="G179" i="10"/>
  <c r="G177" i="10"/>
  <c r="G318" i="11" l="1"/>
  <c r="E261" i="11"/>
  <c r="N197" i="11"/>
  <c r="T197" i="11" s="1"/>
  <c r="N191" i="11"/>
  <c r="S191" i="11" s="1"/>
  <c r="I209" i="10" l="1"/>
  <c r="Q148" i="11"/>
  <c r="E300" i="11" l="1"/>
  <c r="N287" i="11"/>
  <c r="P287" i="11" s="1"/>
  <c r="E333" i="11" l="1"/>
  <c r="G333" i="11" l="1"/>
  <c r="N181" i="10" l="1"/>
  <c r="E181" i="10" s="1"/>
  <c r="G181" i="10" s="1"/>
  <c r="N180" i="10"/>
  <c r="E180" i="10" s="1"/>
  <c r="G180" i="10" s="1"/>
  <c r="N170" i="10"/>
  <c r="N189" i="10"/>
  <c r="N111" i="10" l="1"/>
  <c r="N112" i="10"/>
  <c r="N92" i="10"/>
  <c r="N50" i="10" l="1"/>
  <c r="N31" i="10"/>
  <c r="D39" i="10" l="1"/>
  <c r="N313" i="11"/>
  <c r="T313" i="11" s="1"/>
  <c r="N312" i="11"/>
  <c r="S312" i="11" s="1"/>
  <c r="N310" i="11"/>
  <c r="Q310" i="11" s="1"/>
  <c r="N309" i="11"/>
  <c r="P309" i="11" s="1"/>
  <c r="N307" i="11"/>
  <c r="T307" i="11" s="1"/>
  <c r="N306" i="11"/>
  <c r="T306" i="11" s="1"/>
  <c r="N303" i="11"/>
  <c r="T303" i="11" s="1"/>
  <c r="N300" i="11"/>
  <c r="N299" i="11"/>
  <c r="Q299" i="11" s="1"/>
  <c r="N298" i="11"/>
  <c r="R298" i="11" s="1"/>
  <c r="N297" i="11"/>
  <c r="R297" i="11" s="1"/>
  <c r="N296" i="11"/>
  <c r="Q296" i="11" s="1"/>
  <c r="N294" i="11"/>
  <c r="P294" i="11" s="1"/>
  <c r="N292" i="11"/>
  <c r="R292" i="11" s="1"/>
  <c r="N291" i="11"/>
  <c r="T291" i="11" s="1"/>
  <c r="N290" i="11"/>
  <c r="T290" i="11" s="1"/>
  <c r="N288" i="11"/>
  <c r="P288" i="11" s="1"/>
  <c r="N285" i="11"/>
  <c r="P285" i="11" s="1"/>
  <c r="N282" i="11"/>
  <c r="P282" i="11" s="1"/>
  <c r="N280" i="11"/>
  <c r="P280" i="11" s="1"/>
  <c r="N278" i="11"/>
  <c r="N275" i="11"/>
  <c r="P275" i="11" s="1"/>
  <c r="N274" i="11"/>
  <c r="P274" i="11" s="1"/>
  <c r="I295" i="11"/>
  <c r="I281" i="11"/>
  <c r="I279" i="11"/>
  <c r="I273" i="11"/>
  <c r="N276" i="11" l="1"/>
  <c r="E276" i="11" s="1"/>
  <c r="G276" i="11" s="1"/>
  <c r="T278" i="11"/>
  <c r="N281" i="11"/>
  <c r="E281" i="11"/>
  <c r="G281" i="11" s="1"/>
  <c r="N279" i="11"/>
  <c r="E279" i="11"/>
  <c r="G279" i="11" s="1"/>
  <c r="N273" i="11"/>
  <c r="E273" i="11"/>
  <c r="N295" i="11"/>
  <c r="E295" i="11"/>
  <c r="N283" i="11"/>
  <c r="E283" i="11"/>
  <c r="K12" i="7"/>
  <c r="K13" i="7"/>
  <c r="N286" i="11"/>
  <c r="I286" i="11" s="1"/>
  <c r="E286" i="11" s="1"/>
  <c r="D250" i="11"/>
  <c r="D249" i="11" s="1"/>
  <c r="E258" i="11"/>
  <c r="G258" i="11" s="1"/>
  <c r="E255" i="11"/>
  <c r="G255" i="11" s="1"/>
  <c r="G218" i="10" l="1"/>
  <c r="G215" i="10"/>
  <c r="G214" i="10"/>
  <c r="G212" i="10"/>
  <c r="G210" i="10"/>
  <c r="G208" i="10"/>
  <c r="M30" i="7"/>
  <c r="K30" i="7"/>
  <c r="K33" i="7"/>
  <c r="K34" i="7"/>
  <c r="K35" i="7"/>
  <c r="K37" i="7"/>
  <c r="K36" i="7" s="1"/>
  <c r="K40" i="7"/>
  <c r="K39" i="7" s="1"/>
  <c r="K38" i="7" s="1"/>
  <c r="I18" i="8" s="1"/>
  <c r="K43" i="7"/>
  <c r="K42" i="7" s="1"/>
  <c r="K41" i="7" s="1"/>
  <c r="I20" i="8" s="1"/>
  <c r="M43" i="7"/>
  <c r="M42" i="7" s="1"/>
  <c r="M41" i="7" s="1"/>
  <c r="N168" i="10"/>
  <c r="N218" i="10"/>
  <c r="N216" i="10"/>
  <c r="N215" i="10"/>
  <c r="N214" i="10"/>
  <c r="N212" i="10"/>
  <c r="N210" i="10"/>
  <c r="N208" i="10"/>
  <c r="I217" i="10"/>
  <c r="C20" i="8" l="1"/>
  <c r="N163" i="10"/>
  <c r="E163" i="10" s="1"/>
  <c r="E20" i="7" s="1"/>
  <c r="G20" i="7" s="1"/>
  <c r="K32" i="7"/>
  <c r="K31" i="7" s="1"/>
  <c r="I16" i="8" s="1"/>
  <c r="N188" i="10"/>
  <c r="N187" i="10" s="1"/>
  <c r="N255" i="11" l="1"/>
  <c r="N254" i="11" l="1"/>
  <c r="E254" i="11" s="1"/>
  <c r="P255" i="11"/>
  <c r="P254" i="11" s="1"/>
  <c r="G254" i="11" l="1"/>
  <c r="L29" i="7"/>
  <c r="N29" i="7" s="1"/>
  <c r="L10" i="1"/>
  <c r="G42" i="7" l="1"/>
  <c r="D7" i="11"/>
  <c r="T325" i="11" l="1"/>
  <c r="S325" i="11"/>
  <c r="R325" i="11"/>
  <c r="Q325" i="11"/>
  <c r="E338" i="11"/>
  <c r="G338" i="11" l="1"/>
  <c r="F338" i="11"/>
  <c r="Q188" i="11" l="1"/>
  <c r="N171" i="11" l="1"/>
  <c r="P171" i="11" s="1"/>
  <c r="T324" i="11"/>
  <c r="T323" i="11" s="1"/>
  <c r="T322" i="11" s="1"/>
  <c r="S324" i="11"/>
  <c r="S323" i="11" s="1"/>
  <c r="S322" i="11" s="1"/>
  <c r="R324" i="11"/>
  <c r="R323" i="11" s="1"/>
  <c r="R322" i="11" s="1"/>
  <c r="Q324" i="11"/>
  <c r="Q323" i="11" s="1"/>
  <c r="Q322" i="11" s="1"/>
  <c r="L33" i="7"/>
  <c r="N33" i="7" s="1"/>
  <c r="N123" i="11"/>
  <c r="R273" i="11"/>
  <c r="N319" i="11"/>
  <c r="V319" i="11" s="1"/>
  <c r="N321" i="11"/>
  <c r="V321" i="11" s="1"/>
  <c r="G313" i="11"/>
  <c r="G307" i="11"/>
  <c r="G306" i="11"/>
  <c r="N258" i="11"/>
  <c r="P258" i="11" s="1"/>
  <c r="N257" i="11"/>
  <c r="D240" i="11"/>
  <c r="N161" i="11"/>
  <c r="P161" i="11" s="1"/>
  <c r="N55" i="11"/>
  <c r="E55" i="11" s="1"/>
  <c r="N124" i="11"/>
  <c r="E124" i="11" s="1"/>
  <c r="G325" i="11"/>
  <c r="N122" i="11" l="1"/>
  <c r="F122" i="11" s="1"/>
  <c r="Q123" i="11"/>
  <c r="P257" i="11"/>
  <c r="E257" i="11"/>
  <c r="E321" i="11"/>
  <c r="G321" i="11" s="1"/>
  <c r="E319" i="11"/>
  <c r="G319" i="11" s="1"/>
  <c r="I289" i="11"/>
  <c r="I308" i="11"/>
  <c r="E308" i="11" s="1"/>
  <c r="P273" i="11"/>
  <c r="S317" i="11"/>
  <c r="S316" i="11" s="1"/>
  <c r="S315" i="11" s="1"/>
  <c r="Q317" i="11"/>
  <c r="Q316" i="11" s="1"/>
  <c r="Q315" i="11" s="1"/>
  <c r="R317" i="11"/>
  <c r="R316" i="11" s="1"/>
  <c r="R315" i="11" s="1"/>
  <c r="T317" i="11"/>
  <c r="T316" i="11" s="1"/>
  <c r="T315" i="11" s="1"/>
  <c r="U317" i="11"/>
  <c r="U316" i="11" s="1"/>
  <c r="U315" i="11" s="1"/>
  <c r="E122" i="11"/>
  <c r="G122" i="11" s="1"/>
  <c r="G283" i="11"/>
  <c r="P256" i="11"/>
  <c r="G273" i="11"/>
  <c r="N98" i="11"/>
  <c r="E98" i="11" s="1"/>
  <c r="G98" i="11" s="1"/>
  <c r="N38" i="11"/>
  <c r="N9" i="11"/>
  <c r="E8" i="11" s="1"/>
  <c r="N81" i="11"/>
  <c r="E81" i="11" s="1"/>
  <c r="G81" i="11" s="1"/>
  <c r="G234" i="11"/>
  <c r="G245" i="11"/>
  <c r="G262" i="11"/>
  <c r="G303" i="11"/>
  <c r="G300" i="11"/>
  <c r="G299" i="11"/>
  <c r="G295" i="11"/>
  <c r="G294" i="11"/>
  <c r="G286" i="11"/>
  <c r="G261" i="11"/>
  <c r="G124" i="11"/>
  <c r="G55" i="11"/>
  <c r="E6" i="10"/>
  <c r="N183" i="10"/>
  <c r="E183" i="10" s="1"/>
  <c r="G183" i="10" s="1"/>
  <c r="N184" i="10"/>
  <c r="N151" i="10"/>
  <c r="N150" i="10"/>
  <c r="E184" i="10" l="1"/>
  <c r="G184" i="10" s="1"/>
  <c r="G257" i="11"/>
  <c r="E256" i="11"/>
  <c r="N289" i="11"/>
  <c r="E289" i="11"/>
  <c r="G289" i="11" s="1"/>
  <c r="G308" i="11"/>
  <c r="N308" i="11"/>
  <c r="N272" i="11" s="1"/>
  <c r="G8" i="11"/>
  <c r="E38" i="11"/>
  <c r="N217" i="10"/>
  <c r="E217" i="10" s="1"/>
  <c r="E38" i="7" s="1"/>
  <c r="G38" i="7" s="1"/>
  <c r="I211" i="10"/>
  <c r="I213" i="10"/>
  <c r="I207" i="10"/>
  <c r="F214" i="10"/>
  <c r="F38" i="7" s="1"/>
  <c r="F33" i="7" s="1"/>
  <c r="F32" i="7" s="1"/>
  <c r="G216" i="10"/>
  <c r="E272" i="11" l="1"/>
  <c r="G217" i="10"/>
  <c r="G38" i="11"/>
  <c r="N160" i="10"/>
  <c r="N159" i="10"/>
  <c r="N158" i="10"/>
  <c r="N157" i="10"/>
  <c r="N156" i="10"/>
  <c r="N155" i="10"/>
  <c r="N154" i="10"/>
  <c r="N153" i="10"/>
  <c r="I174" i="10"/>
  <c r="I172" i="10"/>
  <c r="G272" i="11" l="1"/>
  <c r="L37" i="7"/>
  <c r="N37" i="7" s="1"/>
  <c r="N36" i="7" s="1"/>
  <c r="N172" i="10"/>
  <c r="E172" i="10"/>
  <c r="G172" i="10" s="1"/>
  <c r="N174" i="10"/>
  <c r="E174" i="10"/>
  <c r="G174" i="10" s="1"/>
  <c r="N152" i="10"/>
  <c r="N201" i="10"/>
  <c r="E31" i="7" l="1"/>
  <c r="G31" i="7" s="1"/>
  <c r="G30" i="7" s="1"/>
  <c r="G29" i="7" s="1"/>
  <c r="E201" i="10"/>
  <c r="E199" i="10" s="1"/>
  <c r="G199" i="10" s="1"/>
  <c r="L36" i="7"/>
  <c r="N149" i="10"/>
  <c r="N148" i="10"/>
  <c r="N98" i="10"/>
  <c r="N105" i="10"/>
  <c r="N106" i="10"/>
  <c r="N119" i="10"/>
  <c r="N118" i="10"/>
  <c r="N113" i="10"/>
  <c r="N110" i="10"/>
  <c r="N109" i="10"/>
  <c r="N117" i="10"/>
  <c r="N116" i="10"/>
  <c r="N114" i="10"/>
  <c r="N94" i="10"/>
  <c r="N88" i="10"/>
  <c r="N86" i="10"/>
  <c r="N87" i="10"/>
  <c r="N89" i="10"/>
  <c r="N90" i="10"/>
  <c r="N91" i="10"/>
  <c r="N85" i="10"/>
  <c r="N84" i="10"/>
  <c r="N83" i="10"/>
  <c r="N82" i="10"/>
  <c r="E30" i="7" l="1"/>
  <c r="E29" i="7" s="1"/>
  <c r="N53" i="10"/>
  <c r="N10" i="1"/>
  <c r="K10" i="1"/>
  <c r="I10" i="1"/>
  <c r="H10" i="1"/>
  <c r="G10" i="1"/>
  <c r="F10" i="1"/>
  <c r="G188" i="10"/>
  <c r="G195" i="10"/>
  <c r="G201" i="10"/>
  <c r="G163" i="10"/>
  <c r="G122" i="10"/>
  <c r="G120" i="10"/>
  <c r="G8" i="10"/>
  <c r="F8" i="10"/>
  <c r="F187" i="10"/>
  <c r="F195" i="10"/>
  <c r="F25" i="7" s="1"/>
  <c r="F196" i="10"/>
  <c r="F197" i="10"/>
  <c r="F7" i="10" l="1"/>
  <c r="F6" i="10" s="1"/>
  <c r="N175" i="11" l="1"/>
  <c r="P175" i="11" s="1"/>
  <c r="N223" i="11"/>
  <c r="R223" i="11" s="1"/>
  <c r="N222" i="11"/>
  <c r="N224" i="11"/>
  <c r="P224" i="11" s="1"/>
  <c r="N125" i="10" l="1"/>
  <c r="N36" i="10"/>
  <c r="F125" i="10" l="1"/>
  <c r="F16" i="7" s="1"/>
  <c r="E125" i="10"/>
  <c r="F325" i="11"/>
  <c r="G125" i="10" l="1"/>
  <c r="E16" i="7"/>
  <c r="G16" i="7" s="1"/>
  <c r="U314" i="11"/>
  <c r="U325" i="11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K24" i="7"/>
  <c r="D12" i="7"/>
  <c r="D11" i="7" s="1"/>
  <c r="G12" i="7" l="1"/>
  <c r="G11" i="7" s="1"/>
  <c r="U324" i="11"/>
  <c r="U323" i="11" s="1"/>
  <c r="U322" i="11" s="1"/>
  <c r="C18" i="8"/>
  <c r="C14" i="8" l="1"/>
  <c r="C13" i="8" s="1"/>
  <c r="N209" i="10"/>
  <c r="E209" i="10" s="1"/>
  <c r="E35" i="7" s="1"/>
  <c r="G35" i="7" s="1"/>
  <c r="N211" i="10"/>
  <c r="E211" i="10" s="1"/>
  <c r="E36" i="7" s="1"/>
  <c r="G36" i="7" s="1"/>
  <c r="N213" i="10"/>
  <c r="E213" i="10" s="1"/>
  <c r="E37" i="7" s="1"/>
  <c r="G37" i="7" s="1"/>
  <c r="N207" i="10"/>
  <c r="E207" i="10" s="1"/>
  <c r="E34" i="7" s="1"/>
  <c r="N194" i="10"/>
  <c r="E194" i="10" s="1"/>
  <c r="G194" i="10" s="1"/>
  <c r="N193" i="10"/>
  <c r="F262" i="11"/>
  <c r="M33" i="7" s="1"/>
  <c r="G34" i="7" l="1"/>
  <c r="G33" i="7" s="1"/>
  <c r="G32" i="7" s="1"/>
  <c r="E33" i="7"/>
  <c r="E32" i="7" s="1"/>
  <c r="E193" i="10"/>
  <c r="G193" i="10" s="1"/>
  <c r="E24" i="7"/>
  <c r="G209" i="10"/>
  <c r="G213" i="10"/>
  <c r="F192" i="10"/>
  <c r="E191" i="10"/>
  <c r="G211" i="10"/>
  <c r="G207" i="10"/>
  <c r="E206" i="10"/>
  <c r="N206" i="10"/>
  <c r="F163" i="10"/>
  <c r="F20" i="7" s="1"/>
  <c r="E23" i="7" l="1"/>
  <c r="E22" i="7" s="1"/>
  <c r="G24" i="7"/>
  <c r="G23" i="7" s="1"/>
  <c r="G22" i="7" s="1"/>
  <c r="F191" i="10"/>
  <c r="F190" i="10" s="1"/>
  <c r="F24" i="7"/>
  <c r="F23" i="7" s="1"/>
  <c r="F22" i="7" s="1"/>
  <c r="D20" i="8"/>
  <c r="G200" i="10"/>
  <c r="F152" i="10"/>
  <c r="F19" i="7" s="1"/>
  <c r="E152" i="10"/>
  <c r="E19" i="7" s="1"/>
  <c r="G19" i="7" s="1"/>
  <c r="F206" i="10"/>
  <c r="F205" i="10" s="1"/>
  <c r="F200" i="10"/>
  <c r="N147" i="10"/>
  <c r="E326" i="11"/>
  <c r="I325" i="11"/>
  <c r="N115" i="10"/>
  <c r="N108" i="10"/>
  <c r="N107" i="10"/>
  <c r="N104" i="10"/>
  <c r="N103" i="10"/>
  <c r="N102" i="10"/>
  <c r="N101" i="10"/>
  <c r="N100" i="10"/>
  <c r="N99" i="10"/>
  <c r="N96" i="10"/>
  <c r="N95" i="10"/>
  <c r="N93" i="10"/>
  <c r="N55" i="10"/>
  <c r="N54" i="10"/>
  <c r="N52" i="10"/>
  <c r="N51" i="10"/>
  <c r="N49" i="10"/>
  <c r="N48" i="10"/>
  <c r="N47" i="10"/>
  <c r="N46" i="10"/>
  <c r="N45" i="10"/>
  <c r="N44" i="10"/>
  <c r="N43" i="10"/>
  <c r="N42" i="10"/>
  <c r="N41" i="10"/>
  <c r="N38" i="10"/>
  <c r="N37" i="10"/>
  <c r="N35" i="10"/>
  <c r="N34" i="10"/>
  <c r="N33" i="10"/>
  <c r="N32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F199" i="10" l="1"/>
  <c r="F198" i="10" s="1"/>
  <c r="F31" i="7"/>
  <c r="F30" i="7" s="1"/>
  <c r="F29" i="7" s="1"/>
  <c r="N81" i="10"/>
  <c r="D19" i="8"/>
  <c r="G192" i="10"/>
  <c r="D18" i="8"/>
  <c r="F18" i="8" s="1"/>
  <c r="F326" i="11"/>
  <c r="G326" i="11"/>
  <c r="V324" i="11"/>
  <c r="E81" i="10"/>
  <c r="G81" i="10" s="1"/>
  <c r="F147" i="10"/>
  <c r="F18" i="7" s="1"/>
  <c r="E147" i="10"/>
  <c r="E18" i="7" s="1"/>
  <c r="G18" i="7" s="1"/>
  <c r="G152" i="10"/>
  <c r="N97" i="10"/>
  <c r="E97" i="10" s="1"/>
  <c r="G97" i="10" s="1"/>
  <c r="E20" i="8"/>
  <c r="E19" i="8" s="1"/>
  <c r="I318" i="11"/>
  <c r="N318" i="11" s="1"/>
  <c r="N40" i="10"/>
  <c r="F40" i="10" l="1"/>
  <c r="E40" i="10"/>
  <c r="G40" i="10" s="1"/>
  <c r="F20" i="8"/>
  <c r="E324" i="11"/>
  <c r="L43" i="7" s="1"/>
  <c r="D17" i="8"/>
  <c r="F324" i="11"/>
  <c r="D14" i="8"/>
  <c r="N317" i="11"/>
  <c r="F318" i="11"/>
  <c r="F81" i="10"/>
  <c r="G147" i="10"/>
  <c r="E18" i="8"/>
  <c r="N178" i="11"/>
  <c r="T178" i="11" s="1"/>
  <c r="E323" i="11" l="1"/>
  <c r="E322" i="11" s="1"/>
  <c r="G322" i="11" s="1"/>
  <c r="N43" i="7"/>
  <c r="N42" i="7" s="1"/>
  <c r="N41" i="7" s="1"/>
  <c r="L42" i="7"/>
  <c r="L41" i="7" s="1"/>
  <c r="J20" i="8" s="1"/>
  <c r="D13" i="8"/>
  <c r="F14" i="8"/>
  <c r="G324" i="11"/>
  <c r="E17" i="8"/>
  <c r="F317" i="11"/>
  <c r="E317" i="11"/>
  <c r="G317" i="11" s="1"/>
  <c r="G323" i="11" l="1"/>
  <c r="P317" i="11"/>
  <c r="P316" i="11" s="1"/>
  <c r="P315" i="11" s="1"/>
  <c r="F261" i="11"/>
  <c r="F316" i="11"/>
  <c r="M40" i="7" s="1"/>
  <c r="M39" i="7" s="1"/>
  <c r="M38" i="7" s="1"/>
  <c r="E316" i="11"/>
  <c r="N229" i="11"/>
  <c r="T229" i="11" s="1"/>
  <c r="Q261" i="11"/>
  <c r="R261" i="11"/>
  <c r="S261" i="11"/>
  <c r="T261" i="11"/>
  <c r="U261" i="11"/>
  <c r="Q269" i="11"/>
  <c r="R269" i="11"/>
  <c r="S269" i="11"/>
  <c r="T269" i="11"/>
  <c r="U269" i="11"/>
  <c r="Q270" i="11"/>
  <c r="R270" i="11"/>
  <c r="S270" i="11"/>
  <c r="T270" i="11"/>
  <c r="U270" i="11"/>
  <c r="U248" i="11"/>
  <c r="T248" i="11"/>
  <c r="S248" i="11"/>
  <c r="R248" i="11"/>
  <c r="Q248" i="11"/>
  <c r="P248" i="11"/>
  <c r="U247" i="11"/>
  <c r="T247" i="11"/>
  <c r="S247" i="11"/>
  <c r="R247" i="11"/>
  <c r="P247" i="11"/>
  <c r="U246" i="11"/>
  <c r="T246" i="11"/>
  <c r="S246" i="11"/>
  <c r="Q246" i="11"/>
  <c r="P246" i="11"/>
  <c r="U245" i="11"/>
  <c r="T245" i="11"/>
  <c r="S245" i="11"/>
  <c r="R245" i="11"/>
  <c r="Q245" i="11"/>
  <c r="P245" i="11"/>
  <c r="U243" i="11"/>
  <c r="T243" i="11"/>
  <c r="S243" i="11"/>
  <c r="R243" i="11"/>
  <c r="Q243" i="11"/>
  <c r="P243" i="11"/>
  <c r="U242" i="11"/>
  <c r="T242" i="11"/>
  <c r="S242" i="11"/>
  <c r="Q242" i="11"/>
  <c r="P242" i="11"/>
  <c r="U239" i="11"/>
  <c r="T239" i="11"/>
  <c r="S239" i="11"/>
  <c r="R239" i="11"/>
  <c r="Q239" i="11"/>
  <c r="P239" i="11"/>
  <c r="U238" i="11"/>
  <c r="T238" i="11"/>
  <c r="S238" i="11"/>
  <c r="Q238" i="11"/>
  <c r="P238" i="11"/>
  <c r="I245" i="11"/>
  <c r="F245" i="11" s="1"/>
  <c r="F244" i="11" s="1"/>
  <c r="N247" i="11"/>
  <c r="N246" i="11"/>
  <c r="N242" i="11"/>
  <c r="D237" i="11"/>
  <c r="F238" i="11"/>
  <c r="F237" i="11" s="1"/>
  <c r="N238" i="11"/>
  <c r="U234" i="11"/>
  <c r="T234" i="11"/>
  <c r="S234" i="11"/>
  <c r="R234" i="11"/>
  <c r="Q234" i="11"/>
  <c r="P234" i="11"/>
  <c r="F233" i="11"/>
  <c r="K21" i="7"/>
  <c r="I234" i="11"/>
  <c r="N234" i="11" s="1"/>
  <c r="N236" i="11"/>
  <c r="Q236" i="11" s="1"/>
  <c r="N235" i="11"/>
  <c r="R235" i="11" s="1"/>
  <c r="N267" i="11"/>
  <c r="P267" i="11" s="1"/>
  <c r="N266" i="11"/>
  <c r="I265" i="11"/>
  <c r="F265" i="11" s="1"/>
  <c r="M34" i="7" s="1"/>
  <c r="P270" i="11"/>
  <c r="P269" i="11"/>
  <c r="N270" i="11"/>
  <c r="I269" i="11"/>
  <c r="P314" i="11"/>
  <c r="Q314" i="11"/>
  <c r="R314" i="11"/>
  <c r="S314" i="11"/>
  <c r="T314" i="11"/>
  <c r="N177" i="11"/>
  <c r="Q177" i="11" s="1"/>
  <c r="N252" i="11"/>
  <c r="N253" i="11"/>
  <c r="E253" i="11" l="1"/>
  <c r="G253" i="11" s="1"/>
  <c r="P253" i="11"/>
  <c r="E252" i="11"/>
  <c r="G252" i="11" s="1"/>
  <c r="P252" i="11"/>
  <c r="E266" i="11"/>
  <c r="T266" i="11"/>
  <c r="T264" i="11" s="1"/>
  <c r="N237" i="11"/>
  <c r="E237" i="11" s="1"/>
  <c r="E238" i="11"/>
  <c r="G238" i="11" s="1"/>
  <c r="F242" i="11"/>
  <c r="F241" i="11" s="1"/>
  <c r="E242" i="11"/>
  <c r="G242" i="11" s="1"/>
  <c r="E267" i="11"/>
  <c r="G267" i="11" s="1"/>
  <c r="R246" i="11"/>
  <c r="R244" i="11" s="1"/>
  <c r="E246" i="11"/>
  <c r="G246" i="11" s="1"/>
  <c r="Q247" i="11"/>
  <c r="Q244" i="11" s="1"/>
  <c r="E247" i="11"/>
  <c r="G247" i="11" s="1"/>
  <c r="S233" i="11"/>
  <c r="G266" i="11"/>
  <c r="N233" i="11"/>
  <c r="E233" i="11" s="1"/>
  <c r="F269" i="11"/>
  <c r="M35" i="7" s="1"/>
  <c r="M32" i="7" s="1"/>
  <c r="E269" i="11"/>
  <c r="K22" i="7"/>
  <c r="D155" i="11"/>
  <c r="D6" i="11" s="1"/>
  <c r="D5" i="11" s="1"/>
  <c r="E315" i="11"/>
  <c r="L40" i="7" s="1"/>
  <c r="G316" i="11"/>
  <c r="E235" i="11"/>
  <c r="G235" i="11" s="1"/>
  <c r="E271" i="11"/>
  <c r="M25" i="7"/>
  <c r="F315" i="11"/>
  <c r="M22" i="7"/>
  <c r="M21" i="7"/>
  <c r="K25" i="7"/>
  <c r="K23" i="7" s="1"/>
  <c r="I11" i="8" s="1"/>
  <c r="P237" i="11"/>
  <c r="U237" i="11"/>
  <c r="T241" i="11"/>
  <c r="U241" i="11"/>
  <c r="S244" i="11"/>
  <c r="T244" i="11"/>
  <c r="N264" i="11"/>
  <c r="P268" i="11"/>
  <c r="S237" i="11"/>
  <c r="P244" i="11"/>
  <c r="R264" i="11"/>
  <c r="Q237" i="11"/>
  <c r="P241" i="11"/>
  <c r="U233" i="11"/>
  <c r="Q241" i="11"/>
  <c r="T237" i="11"/>
  <c r="S241" i="11"/>
  <c r="Q268" i="11"/>
  <c r="S264" i="11"/>
  <c r="Q264" i="11"/>
  <c r="P264" i="11"/>
  <c r="F256" i="11"/>
  <c r="F254" i="11" s="1"/>
  <c r="U268" i="11"/>
  <c r="U244" i="11"/>
  <c r="S268" i="11"/>
  <c r="R268" i="11"/>
  <c r="U264" i="11"/>
  <c r="T268" i="11"/>
  <c r="P233" i="11"/>
  <c r="Q256" i="11"/>
  <c r="R233" i="11"/>
  <c r="T233" i="11"/>
  <c r="S256" i="11"/>
  <c r="T256" i="11"/>
  <c r="U256" i="11"/>
  <c r="R256" i="11"/>
  <c r="R238" i="11"/>
  <c r="R237" i="11" s="1"/>
  <c r="R242" i="11"/>
  <c r="R241" i="11" s="1"/>
  <c r="N244" i="11"/>
  <c r="E244" i="11" s="1"/>
  <c r="G244" i="11" s="1"/>
  <c r="N241" i="11"/>
  <c r="E241" i="11" s="1"/>
  <c r="N269" i="11"/>
  <c r="N268" i="11" s="1"/>
  <c r="L22" i="7" l="1"/>
  <c r="N22" i="7" s="1"/>
  <c r="G237" i="11"/>
  <c r="F240" i="11"/>
  <c r="M24" i="7"/>
  <c r="E264" i="11"/>
  <c r="G264" i="11" s="1"/>
  <c r="F268" i="11"/>
  <c r="Q233" i="11"/>
  <c r="N40" i="7"/>
  <c r="N39" i="7" s="1"/>
  <c r="N38" i="7" s="1"/>
  <c r="L39" i="7"/>
  <c r="L38" i="7" s="1"/>
  <c r="J18" i="8" s="1"/>
  <c r="L20" i="8"/>
  <c r="L19" i="8" s="1"/>
  <c r="G271" i="11"/>
  <c r="G269" i="11"/>
  <c r="E268" i="11"/>
  <c r="L35" i="7" s="1"/>
  <c r="N35" i="7" s="1"/>
  <c r="E240" i="11"/>
  <c r="G240" i="11" s="1"/>
  <c r="G241" i="11"/>
  <c r="L24" i="7"/>
  <c r="N24" i="7" s="1"/>
  <c r="L25" i="7"/>
  <c r="N25" i="7" s="1"/>
  <c r="G315" i="11"/>
  <c r="M29" i="7"/>
  <c r="M23" i="7"/>
  <c r="K11" i="8" s="1"/>
  <c r="T240" i="11"/>
  <c r="U240" i="11"/>
  <c r="S240" i="11"/>
  <c r="T260" i="11"/>
  <c r="R260" i="11"/>
  <c r="U260" i="11"/>
  <c r="Q240" i="11"/>
  <c r="R240" i="11"/>
  <c r="P240" i="11"/>
  <c r="S260" i="11"/>
  <c r="Q260" i="11"/>
  <c r="N240" i="11"/>
  <c r="L34" i="7" l="1"/>
  <c r="N34" i="7" s="1"/>
  <c r="N32" i="7"/>
  <c r="N31" i="7" s="1"/>
  <c r="L18" i="8"/>
  <c r="E260" i="11"/>
  <c r="E259" i="11" s="1"/>
  <c r="G268" i="11"/>
  <c r="L23" i="7"/>
  <c r="G233" i="11"/>
  <c r="L21" i="7"/>
  <c r="N21" i="7" s="1"/>
  <c r="N23" i="7"/>
  <c r="F253" i="11"/>
  <c r="F252" i="11"/>
  <c r="F313" i="11"/>
  <c r="F309" i="11"/>
  <c r="L32" i="7" l="1"/>
  <c r="L31" i="7" s="1"/>
  <c r="J16" i="8" s="1"/>
  <c r="J11" i="8"/>
  <c r="L11" i="8" s="1"/>
  <c r="R251" i="11"/>
  <c r="R250" i="11" s="1"/>
  <c r="R249" i="11" s="1"/>
  <c r="G259" i="11"/>
  <c r="G260" i="11"/>
  <c r="P251" i="11"/>
  <c r="P250" i="11" s="1"/>
  <c r="Q251" i="11"/>
  <c r="Q250" i="11" s="1"/>
  <c r="Q249" i="11" s="1"/>
  <c r="L17" i="8"/>
  <c r="S251" i="11"/>
  <c r="S250" i="11" s="1"/>
  <c r="S249" i="11" s="1"/>
  <c r="T251" i="11"/>
  <c r="T250" i="11" s="1"/>
  <c r="T249" i="11" s="1"/>
  <c r="U251" i="11"/>
  <c r="U250" i="11" s="1"/>
  <c r="U249" i="11" s="1"/>
  <c r="F251" i="11"/>
  <c r="M28" i="7" l="1"/>
  <c r="S273" i="11" l="1"/>
  <c r="T273" i="11"/>
  <c r="T213" i="11"/>
  <c r="S213" i="11"/>
  <c r="T209" i="11"/>
  <c r="S209" i="11"/>
  <c r="T205" i="11"/>
  <c r="S205" i="11"/>
  <c r="T204" i="11"/>
  <c r="S204" i="11"/>
  <c r="S166" i="11"/>
  <c r="S156" i="11" s="1"/>
  <c r="T166" i="11"/>
  <c r="U273" i="11"/>
  <c r="U213" i="11"/>
  <c r="U209" i="11"/>
  <c r="U205" i="11"/>
  <c r="U204" i="11"/>
  <c r="U166" i="11"/>
  <c r="U156" i="11" s="1"/>
  <c r="F308" i="11"/>
  <c r="T272" i="11" l="1"/>
  <c r="V225" i="11"/>
  <c r="V181" i="11"/>
  <c r="T225" i="11"/>
  <c r="U225" i="11"/>
  <c r="S225" i="11"/>
  <c r="V209" i="11"/>
  <c r="V213" i="11"/>
  <c r="V205" i="11"/>
  <c r="V204" i="11" s="1"/>
  <c r="T271" i="11" l="1"/>
  <c r="T259" i="11" s="1"/>
  <c r="F306" i="11"/>
  <c r="S272" i="11"/>
  <c r="S271" i="11" s="1"/>
  <c r="S259" i="11" s="1"/>
  <c r="Q273" i="11"/>
  <c r="F273" i="11"/>
  <c r="M37" i="7" s="1"/>
  <c r="R272" i="11" l="1"/>
  <c r="R271" i="11" s="1"/>
  <c r="R259" i="11" s="1"/>
  <c r="Q272" i="11"/>
  <c r="Q271" i="11" s="1"/>
  <c r="Q259" i="11" s="1"/>
  <c r="M36" i="7"/>
  <c r="M31" i="7" s="1"/>
  <c r="K18" i="8"/>
  <c r="K17" i="8" s="1"/>
  <c r="F301" i="11"/>
  <c r="P272" i="11"/>
  <c r="F297" i="11"/>
  <c r="F295" i="11"/>
  <c r="N227" i="11"/>
  <c r="R227" i="11" s="1"/>
  <c r="N231" i="11"/>
  <c r="P231" i="11" s="1"/>
  <c r="N230" i="11"/>
  <c r="P230" i="11" s="1"/>
  <c r="N232" i="11"/>
  <c r="R232" i="11" s="1"/>
  <c r="N226" i="11"/>
  <c r="P226" i="11" s="1"/>
  <c r="N215" i="11"/>
  <c r="P215" i="11" s="1"/>
  <c r="N216" i="11"/>
  <c r="P216" i="11" s="1"/>
  <c r="N217" i="11"/>
  <c r="P217" i="11" s="1"/>
  <c r="N218" i="11"/>
  <c r="P218" i="11" s="1"/>
  <c r="N220" i="11"/>
  <c r="P220" i="11" s="1"/>
  <c r="N221" i="11"/>
  <c r="P221" i="11" s="1"/>
  <c r="N211" i="11"/>
  <c r="P211" i="11" s="1"/>
  <c r="N212" i="11"/>
  <c r="P212" i="11" s="1"/>
  <c r="N207" i="11"/>
  <c r="P207" i="11" s="1"/>
  <c r="N208" i="11"/>
  <c r="P208" i="11" s="1"/>
  <c r="N183" i="11"/>
  <c r="P183" i="11" s="1"/>
  <c r="N184" i="11"/>
  <c r="P184" i="11" s="1"/>
  <c r="N189" i="11"/>
  <c r="P189" i="11" s="1"/>
  <c r="N190" i="11"/>
  <c r="R190" i="11" s="1"/>
  <c r="N194" i="11"/>
  <c r="Q194" i="11" s="1"/>
  <c r="N195" i="11"/>
  <c r="P195" i="11" s="1"/>
  <c r="N196" i="11"/>
  <c r="R196" i="11" s="1"/>
  <c r="N200" i="11"/>
  <c r="Q200" i="11" s="1"/>
  <c r="N201" i="11"/>
  <c r="P201" i="11" s="1"/>
  <c r="N202" i="11"/>
  <c r="P202" i="11" s="1"/>
  <c r="N203" i="11"/>
  <c r="P203" i="11" s="1"/>
  <c r="N206" i="11"/>
  <c r="P206" i="11" s="1"/>
  <c r="N210" i="11"/>
  <c r="P210" i="11" s="1"/>
  <c r="N169" i="11"/>
  <c r="P169" i="11" s="1"/>
  <c r="N170" i="11"/>
  <c r="P170" i="11" s="1"/>
  <c r="N172" i="11"/>
  <c r="P172" i="11" s="1"/>
  <c r="N173" i="11"/>
  <c r="P173" i="11" s="1"/>
  <c r="N174" i="11"/>
  <c r="P174" i="11" s="1"/>
  <c r="N176" i="11"/>
  <c r="P176" i="11" s="1"/>
  <c r="N179" i="11"/>
  <c r="T179" i="11" s="1"/>
  <c r="T156" i="11" s="1"/>
  <c r="N180" i="11"/>
  <c r="Q180" i="11" s="1"/>
  <c r="N168" i="11"/>
  <c r="R168" i="11" s="1"/>
  <c r="N214" i="11"/>
  <c r="P214" i="11" s="1"/>
  <c r="Q166" i="11"/>
  <c r="R166" i="11"/>
  <c r="R156" i="11" s="1"/>
  <c r="N182" i="11"/>
  <c r="P182" i="11" s="1"/>
  <c r="T181" i="11" l="1"/>
  <c r="N181" i="11"/>
  <c r="N225" i="11"/>
  <c r="E225" i="11" s="1"/>
  <c r="G225" i="11" s="1"/>
  <c r="R225" i="11"/>
  <c r="U181" i="11"/>
  <c r="F283" i="11"/>
  <c r="F289" i="11"/>
  <c r="R209" i="11"/>
  <c r="Q209" i="11"/>
  <c r="R205" i="11"/>
  <c r="Q213" i="11"/>
  <c r="Q205" i="11"/>
  <c r="R213" i="11"/>
  <c r="Q225" i="11"/>
  <c r="N205" i="11"/>
  <c r="P213" i="11"/>
  <c r="N209" i="11"/>
  <c r="P209" i="11"/>
  <c r="P205" i="11"/>
  <c r="S181" i="11"/>
  <c r="T155" i="11" l="1"/>
  <c r="T5" i="11" s="1"/>
  <c r="T1" i="11" s="1"/>
  <c r="P225" i="11"/>
  <c r="P181" i="11"/>
  <c r="Q181" i="11"/>
  <c r="V155" i="11"/>
  <c r="U155" i="11"/>
  <c r="Q204" i="11"/>
  <c r="R204" i="11"/>
  <c r="P204" i="11"/>
  <c r="R181" i="11"/>
  <c r="N166" i="11" l="1"/>
  <c r="P166" i="11" s="1"/>
  <c r="N165" i="11"/>
  <c r="P165" i="11" s="1"/>
  <c r="N167" i="11"/>
  <c r="Q167" i="11" s="1"/>
  <c r="Q156" i="11" s="1"/>
  <c r="S155" i="11" l="1"/>
  <c r="S5" i="11" l="1"/>
  <c r="S1" i="11" s="1"/>
  <c r="R155" i="11"/>
  <c r="R5" i="11" s="1"/>
  <c r="R1" i="11" s="1"/>
  <c r="N160" i="11"/>
  <c r="P160" i="11" s="1"/>
  <c r="N162" i="11"/>
  <c r="P162" i="11" s="1"/>
  <c r="N163" i="11"/>
  <c r="P163" i="11" s="1"/>
  <c r="N164" i="11"/>
  <c r="P164" i="11" s="1"/>
  <c r="N159" i="11"/>
  <c r="P159" i="11" s="1"/>
  <c r="G157" i="11"/>
  <c r="G158" i="11"/>
  <c r="P156" i="11" l="1"/>
  <c r="P155" i="11" s="1"/>
  <c r="N156" i="11"/>
  <c r="Q155" i="11"/>
  <c r="Q5" i="11" s="1"/>
  <c r="Q1" i="11" l="1"/>
  <c r="E156" i="11"/>
  <c r="G156" i="11" s="1"/>
  <c r="P154" i="11"/>
  <c r="P325" i="11"/>
  <c r="W318" i="11"/>
  <c r="P261" i="11"/>
  <c r="P260" i="11" s="1"/>
  <c r="U272" i="11" l="1"/>
  <c r="U271" i="11" s="1"/>
  <c r="U259" i="11" s="1"/>
  <c r="P324" i="11"/>
  <c r="V317" i="11"/>
  <c r="U5" i="11" l="1"/>
  <c r="U1" i="11" s="1"/>
  <c r="V5" i="11"/>
  <c r="V1" i="11" s="1"/>
  <c r="V316" i="11"/>
  <c r="V315" i="11" s="1"/>
  <c r="W317" i="11"/>
  <c r="W5" i="11" s="1"/>
  <c r="F264" i="11"/>
  <c r="F260" i="11" l="1"/>
  <c r="K22" i="8" l="1"/>
  <c r="K20" i="8"/>
  <c r="F323" i="11"/>
  <c r="K19" i="8" l="1"/>
  <c r="K21" i="8"/>
  <c r="F322" i="11"/>
  <c r="G161" i="10" l="1"/>
  <c r="G162" i="10"/>
  <c r="E187" i="10" l="1"/>
  <c r="G187" i="10" s="1"/>
  <c r="E190" i="10"/>
  <c r="G197" i="10"/>
  <c r="G196" i="10"/>
  <c r="F12" i="7" l="1"/>
  <c r="E198" i="10"/>
  <c r="E186" i="10"/>
  <c r="E205" i="10"/>
  <c r="E14" i="8" l="1"/>
  <c r="E185" i="10"/>
  <c r="E28" i="7" s="1"/>
  <c r="N141" i="10"/>
  <c r="E27" i="7" l="1"/>
  <c r="E26" i="7" s="1"/>
  <c r="F141" i="10"/>
  <c r="F17" i="7" s="1"/>
  <c r="E141" i="10"/>
  <c r="E17" i="7" s="1"/>
  <c r="G17" i="7" s="1"/>
  <c r="D16" i="8"/>
  <c r="E13" i="8"/>
  <c r="D15" i="8" l="1"/>
  <c r="G141" i="10"/>
  <c r="N131" i="11"/>
  <c r="F98" i="11"/>
  <c r="F81" i="11"/>
  <c r="F55" i="11"/>
  <c r="F38" i="11"/>
  <c r="N127" i="11"/>
  <c r="N37" i="11" s="1"/>
  <c r="E37" i="11" s="1"/>
  <c r="F131" i="11" l="1"/>
  <c r="M14" i="7" s="1"/>
  <c r="E131" i="11"/>
  <c r="G131" i="11" s="1"/>
  <c r="F127" i="11"/>
  <c r="E127" i="11"/>
  <c r="J19" i="8"/>
  <c r="I19" i="8"/>
  <c r="G127" i="11" l="1"/>
  <c r="L13" i="7"/>
  <c r="E168" i="12" l="1"/>
  <c r="G168" i="12" s="1"/>
  <c r="E167" i="12"/>
  <c r="G167" i="12" s="1"/>
  <c r="K166" i="12"/>
  <c r="E166" i="12" s="1"/>
  <c r="G166" i="12" s="1"/>
  <c r="E165" i="12"/>
  <c r="G165" i="12" s="1"/>
  <c r="K164" i="12"/>
  <c r="E164" i="12"/>
  <c r="G164" i="12" s="1"/>
  <c r="K163" i="12"/>
  <c r="K162" i="12" s="1"/>
  <c r="D163" i="12"/>
  <c r="D162" i="12"/>
  <c r="G161" i="12"/>
  <c r="G160" i="12"/>
  <c r="E159" i="12"/>
  <c r="G159" i="12" s="1"/>
  <c r="E158" i="12"/>
  <c r="G158" i="12" s="1"/>
  <c r="E157" i="12"/>
  <c r="G157" i="12" s="1"/>
  <c r="K156" i="12"/>
  <c r="K155" i="12" s="1"/>
  <c r="D156" i="12"/>
  <c r="D155" i="12" s="1"/>
  <c r="E152" i="12"/>
  <c r="G152" i="12" s="1"/>
  <c r="E151" i="12"/>
  <c r="G151" i="12" s="1"/>
  <c r="K150" i="12"/>
  <c r="K149" i="12" s="1"/>
  <c r="D150" i="12"/>
  <c r="D149" i="12" s="1"/>
  <c r="E147" i="12"/>
  <c r="E146" i="12" s="1"/>
  <c r="E145" i="12" s="1"/>
  <c r="K146" i="12"/>
  <c r="K145" i="12" s="1"/>
  <c r="D146" i="12"/>
  <c r="D145" i="12" s="1"/>
  <c r="K140" i="12"/>
  <c r="K138" i="12"/>
  <c r="K136" i="12"/>
  <c r="K133" i="12"/>
  <c r="E133" i="12" s="1"/>
  <c r="G133" i="12" s="1"/>
  <c r="K127" i="12"/>
  <c r="E127" i="12" s="1"/>
  <c r="G127" i="12" s="1"/>
  <c r="K125" i="12"/>
  <c r="E125" i="12" s="1"/>
  <c r="G125" i="12" s="1"/>
  <c r="K122" i="12"/>
  <c r="K120" i="12" s="1"/>
  <c r="E120" i="12" s="1"/>
  <c r="G120" i="12" s="1"/>
  <c r="K102" i="12"/>
  <c r="E102" i="12" s="1"/>
  <c r="G102" i="12" s="1"/>
  <c r="K99" i="12"/>
  <c r="E99" i="12" s="1"/>
  <c r="G99" i="12" s="1"/>
  <c r="K97" i="12"/>
  <c r="E97" i="12" s="1"/>
  <c r="G97" i="12" s="1"/>
  <c r="K80" i="12"/>
  <c r="E80" i="12" s="1"/>
  <c r="G80" i="12" s="1"/>
  <c r="K67" i="12"/>
  <c r="E67" i="12" s="1"/>
  <c r="G67" i="12" s="1"/>
  <c r="K50" i="12"/>
  <c r="E50" i="12" s="1"/>
  <c r="G50" i="12" s="1"/>
  <c r="K32" i="12"/>
  <c r="E32" i="12" s="1"/>
  <c r="G32" i="12" s="1"/>
  <c r="D31" i="12"/>
  <c r="D11" i="12" s="1"/>
  <c r="D10" i="12" s="1"/>
  <c r="K13" i="12"/>
  <c r="E12" i="12" s="1"/>
  <c r="G12" i="12" s="1"/>
  <c r="E9" i="12"/>
  <c r="G9" i="12" s="1"/>
  <c r="E8" i="12"/>
  <c r="G8" i="12" s="1"/>
  <c r="K7" i="12"/>
  <c r="K6" i="12" s="1"/>
  <c r="E7" i="12"/>
  <c r="D7" i="12"/>
  <c r="D6" i="12" s="1"/>
  <c r="G145" i="12" l="1"/>
  <c r="G147" i="12"/>
  <c r="G7" i="12"/>
  <c r="D5" i="12"/>
  <c r="K135" i="12"/>
  <c r="E135" i="12" s="1"/>
  <c r="G135" i="12" s="1"/>
  <c r="G146" i="12"/>
  <c r="E6" i="12"/>
  <c r="G6" i="12" s="1"/>
  <c r="K31" i="12"/>
  <c r="E150" i="12"/>
  <c r="E156" i="12"/>
  <c r="E163" i="12"/>
  <c r="G156" i="12" l="1"/>
  <c r="E155" i="12"/>
  <c r="G155" i="12" s="1"/>
  <c r="G150" i="12"/>
  <c r="E149" i="12"/>
  <c r="G149" i="12" s="1"/>
  <c r="K11" i="12"/>
  <c r="K10" i="12" s="1"/>
  <c r="K5" i="12" s="1"/>
  <c r="K12" i="12"/>
  <c r="E31" i="12"/>
  <c r="G163" i="12"/>
  <c r="E162" i="12"/>
  <c r="G162" i="12" s="1"/>
  <c r="E11" i="12" l="1"/>
  <c r="G31" i="12"/>
  <c r="G11" i="12" l="1"/>
  <c r="E10" i="12"/>
  <c r="E5" i="12" l="1"/>
  <c r="G5" i="12" s="1"/>
  <c r="G10" i="12"/>
  <c r="K28" i="7" l="1"/>
  <c r="K27" i="7" s="1"/>
  <c r="K20" i="7"/>
  <c r="K19" i="7"/>
  <c r="K18" i="7"/>
  <c r="K17" i="7"/>
  <c r="K15" i="7"/>
  <c r="K14" i="7"/>
  <c r="N13" i="7"/>
  <c r="K16" i="7" l="1"/>
  <c r="I12" i="8" s="1"/>
  <c r="N316" i="11" l="1"/>
  <c r="N315" i="11" s="1"/>
  <c r="N260" i="11"/>
  <c r="F225" i="11"/>
  <c r="N213" i="11"/>
  <c r="E181" i="11"/>
  <c r="G181" i="11" s="1"/>
  <c r="F124" i="11"/>
  <c r="M13" i="7" s="1"/>
  <c r="F8" i="11"/>
  <c r="N204" i="11" l="1"/>
  <c r="N155" i="11" s="1"/>
  <c r="E155" i="11" s="1"/>
  <c r="G155" i="11" s="1"/>
  <c r="F149" i="11"/>
  <c r="M15" i="7" s="1"/>
  <c r="E149" i="11"/>
  <c r="M20" i="7"/>
  <c r="F37" i="11"/>
  <c r="I21" i="8"/>
  <c r="F181" i="11"/>
  <c r="F156" i="11"/>
  <c r="L14" i="7"/>
  <c r="N14" i="7" s="1"/>
  <c r="L18" i="7"/>
  <c r="N18" i="7" s="1"/>
  <c r="L20" i="7"/>
  <c r="N20" i="7" s="1"/>
  <c r="I17" i="8"/>
  <c r="L17" i="7"/>
  <c r="L12" i="7"/>
  <c r="N12" i="7" s="1"/>
  <c r="G149" i="11" l="1"/>
  <c r="E7" i="11"/>
  <c r="N17" i="7"/>
  <c r="F204" i="11"/>
  <c r="F155" i="11" s="1"/>
  <c r="E204" i="11"/>
  <c r="G204" i="11" s="1"/>
  <c r="L15" i="7"/>
  <c r="N15" i="7" s="1"/>
  <c r="N8" i="11"/>
  <c r="N7" i="11" s="1"/>
  <c r="P7" i="11" s="1"/>
  <c r="M18" i="7"/>
  <c r="M17" i="7"/>
  <c r="M12" i="7"/>
  <c r="M19" i="7"/>
  <c r="F7" i="11"/>
  <c r="J17" i="8"/>
  <c r="N11" i="7" l="1"/>
  <c r="L19" i="7"/>
  <c r="L11" i="7"/>
  <c r="J10" i="8" s="1"/>
  <c r="N6" i="11"/>
  <c r="G37" i="11"/>
  <c r="F6" i="11"/>
  <c r="M16" i="7"/>
  <c r="K12" i="8" s="1"/>
  <c r="N19" i="7" l="1"/>
  <c r="N16" i="7" s="1"/>
  <c r="N10" i="7" s="1"/>
  <c r="L16" i="7"/>
  <c r="G7" i="11"/>
  <c r="E6" i="11"/>
  <c r="L10" i="7" l="1"/>
  <c r="J12" i="8"/>
  <c r="L12" i="8" s="1"/>
  <c r="G6" i="11"/>
  <c r="G205" i="10"/>
  <c r="G206" i="10"/>
  <c r="G10" i="7" l="1"/>
  <c r="N198" i="10" l="1"/>
  <c r="N190" i="10"/>
  <c r="N186" i="10"/>
  <c r="F186" i="10" s="1"/>
  <c r="D186" i="10"/>
  <c r="N122" i="10"/>
  <c r="N120" i="10"/>
  <c r="N56" i="10"/>
  <c r="N12" i="10"/>
  <c r="N6" i="10"/>
  <c r="G7" i="10"/>
  <c r="G191" i="10" l="1"/>
  <c r="D190" i="10"/>
  <c r="G190" i="10" s="1"/>
  <c r="F11" i="10"/>
  <c r="F56" i="10"/>
  <c r="E56" i="10"/>
  <c r="G56" i="10" s="1"/>
  <c r="D185" i="10"/>
  <c r="D28" i="7" s="1"/>
  <c r="G186" i="10"/>
  <c r="D198" i="10"/>
  <c r="F122" i="10"/>
  <c r="F120" i="10"/>
  <c r="F97" i="10"/>
  <c r="N39" i="10"/>
  <c r="E39" i="10" s="1"/>
  <c r="G39" i="10" s="1"/>
  <c r="N185" i="10"/>
  <c r="N171" i="10"/>
  <c r="E171" i="10" s="1"/>
  <c r="E21" i="7" s="1"/>
  <c r="G6" i="10"/>
  <c r="K149" i="9"/>
  <c r="K148" i="9"/>
  <c r="K147" i="9"/>
  <c r="K146" i="9"/>
  <c r="K145" i="9"/>
  <c r="J144" i="9"/>
  <c r="J143" i="9" s="1"/>
  <c r="I144" i="9"/>
  <c r="I143" i="9" s="1"/>
  <c r="H144" i="9"/>
  <c r="H143" i="9" s="1"/>
  <c r="G144" i="9"/>
  <c r="K142" i="9"/>
  <c r="K140" i="9" s="1"/>
  <c r="K139" i="9" s="1"/>
  <c r="J140" i="9"/>
  <c r="J139" i="9" s="1"/>
  <c r="K138" i="9"/>
  <c r="K137" i="9"/>
  <c r="K136" i="9"/>
  <c r="I135" i="9"/>
  <c r="K135" i="9" s="1"/>
  <c r="K134" i="9"/>
  <c r="K133" i="9"/>
  <c r="K132" i="9"/>
  <c r="K131" i="9"/>
  <c r="I130" i="9"/>
  <c r="I129" i="9" s="1"/>
  <c r="I128" i="9" s="1"/>
  <c r="K126" i="9"/>
  <c r="K125" i="9" s="1"/>
  <c r="K124" i="9" s="1"/>
  <c r="H125" i="9"/>
  <c r="H124" i="9" s="1"/>
  <c r="K123" i="9"/>
  <c r="K122" i="9"/>
  <c r="K121" i="9"/>
  <c r="K120" i="9"/>
  <c r="G119" i="9"/>
  <c r="K118" i="9"/>
  <c r="G117" i="9"/>
  <c r="G114" i="9" s="1"/>
  <c r="K116" i="9"/>
  <c r="K115" i="9" s="1"/>
  <c r="G115" i="9"/>
  <c r="K113" i="9"/>
  <c r="K112" i="9" s="1"/>
  <c r="G112" i="9"/>
  <c r="K111" i="9"/>
  <c r="G110" i="9"/>
  <c r="K110" i="9" s="1"/>
  <c r="K109" i="9"/>
  <c r="G107" i="9"/>
  <c r="G106" i="9" s="1"/>
  <c r="K105" i="9"/>
  <c r="K104" i="9"/>
  <c r="K103" i="9"/>
  <c r="K102" i="9"/>
  <c r="G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G84" i="9"/>
  <c r="K84" i="9" s="1"/>
  <c r="K83" i="9"/>
  <c r="K82" i="9"/>
  <c r="K81" i="9" s="1"/>
  <c r="G81" i="9"/>
  <c r="G80" i="9"/>
  <c r="G79" i="9" s="1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G63" i="9"/>
  <c r="K62" i="9"/>
  <c r="K61" i="9"/>
  <c r="K60" i="9"/>
  <c r="K59" i="9"/>
  <c r="K58" i="9"/>
  <c r="K57" i="9"/>
  <c r="K56" i="9"/>
  <c r="K55" i="9"/>
  <c r="K54" i="9"/>
  <c r="K53" i="9"/>
  <c r="K52" i="9"/>
  <c r="K51" i="9"/>
  <c r="G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G34" i="9"/>
  <c r="K33" i="9"/>
  <c r="K32" i="9" s="1"/>
  <c r="G32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G14" i="9"/>
  <c r="K9" i="9"/>
  <c r="K8" i="9"/>
  <c r="J7" i="9"/>
  <c r="J6" i="9" s="1"/>
  <c r="D27" i="7" l="1"/>
  <c r="D26" i="7" s="1"/>
  <c r="G28" i="7"/>
  <c r="G27" i="7" s="1"/>
  <c r="G26" i="7" s="1"/>
  <c r="F15" i="7"/>
  <c r="G198" i="10"/>
  <c r="D5" i="10"/>
  <c r="G21" i="7"/>
  <c r="K14" i="9"/>
  <c r="K101" i="9"/>
  <c r="K119" i="9"/>
  <c r="K108" i="9"/>
  <c r="H5" i="9"/>
  <c r="K50" i="9"/>
  <c r="N9" i="10"/>
  <c r="F171" i="10"/>
  <c r="F21" i="7" s="1"/>
  <c r="F14" i="7" s="1"/>
  <c r="F13" i="7" s="1"/>
  <c r="F11" i="7" s="1"/>
  <c r="G185" i="10"/>
  <c r="F185" i="10"/>
  <c r="F28" i="7" s="1"/>
  <c r="F27" i="7" s="1"/>
  <c r="F26" i="7" s="1"/>
  <c r="N11" i="10"/>
  <c r="F39" i="10"/>
  <c r="K63" i="9"/>
  <c r="K130" i="9"/>
  <c r="K7" i="9"/>
  <c r="G31" i="9"/>
  <c r="G13" i="9" s="1"/>
  <c r="G12" i="9" s="1"/>
  <c r="K34" i="9"/>
  <c r="K144" i="9"/>
  <c r="D232" i="10"/>
  <c r="K128" i="9"/>
  <c r="I5" i="9"/>
  <c r="J5" i="9"/>
  <c r="K6" i="9"/>
  <c r="K80" i="9"/>
  <c r="K79" i="9" s="1"/>
  <c r="K117" i="9"/>
  <c r="K107" i="9"/>
  <c r="K106" i="9" s="1"/>
  <c r="K129" i="9"/>
  <c r="G108" i="9"/>
  <c r="G143" i="9"/>
  <c r="K143" i="9" s="1"/>
  <c r="K114" i="9" l="1"/>
  <c r="F10" i="7"/>
  <c r="E10" i="8"/>
  <c r="E9" i="8" s="1"/>
  <c r="E10" i="10"/>
  <c r="G10" i="10" s="1"/>
  <c r="K31" i="9"/>
  <c r="K13" i="9" s="1"/>
  <c r="F10" i="10"/>
  <c r="F9" i="10" s="1"/>
  <c r="F5" i="10" s="1"/>
  <c r="E11" i="10"/>
  <c r="E15" i="7" s="1"/>
  <c r="G171" i="10"/>
  <c r="C16" i="8"/>
  <c r="F16" i="8" s="1"/>
  <c r="E16" i="8"/>
  <c r="K12" i="9"/>
  <c r="G11" i="9"/>
  <c r="G15" i="7" l="1"/>
  <c r="G14" i="7" s="1"/>
  <c r="G13" i="7" s="1"/>
  <c r="E14" i="7"/>
  <c r="E13" i="7" s="1"/>
  <c r="G11" i="10"/>
  <c r="E15" i="8"/>
  <c r="G10" i="9"/>
  <c r="K11" i="9"/>
  <c r="M11" i="7"/>
  <c r="J15" i="8" l="1"/>
  <c r="D12" i="8"/>
  <c r="M10" i="7"/>
  <c r="K10" i="8"/>
  <c r="E12" i="8"/>
  <c r="E10" i="7"/>
  <c r="D10" i="8" s="1"/>
  <c r="D9" i="8" s="1"/>
  <c r="K10" i="9"/>
  <c r="G5" i="9"/>
  <c r="K5" i="9" s="1"/>
  <c r="M27" i="7"/>
  <c r="K11" i="7"/>
  <c r="G9" i="7"/>
  <c r="E9" i="7" l="1"/>
  <c r="I10" i="8"/>
  <c r="L10" i="8" s="1"/>
  <c r="D11" i="8"/>
  <c r="K9" i="8"/>
  <c r="M26" i="7"/>
  <c r="K14" i="8"/>
  <c r="E11" i="8"/>
  <c r="F9" i="7"/>
  <c r="F61" i="7" s="1"/>
  <c r="K10" i="7"/>
  <c r="C19" i="8"/>
  <c r="F19" i="8" s="1"/>
  <c r="D10" i="7"/>
  <c r="D9" i="7" s="1"/>
  <c r="C10" i="8" l="1"/>
  <c r="C9" i="8" s="1"/>
  <c r="F9" i="8" s="1"/>
  <c r="K13" i="8"/>
  <c r="E8" i="8"/>
  <c r="J9" i="8"/>
  <c r="C17" i="8"/>
  <c r="F17" i="8" s="1"/>
  <c r="F10" i="8" l="1"/>
  <c r="F13" i="8"/>
  <c r="L16" i="8" l="1"/>
  <c r="I9" i="8"/>
  <c r="L9" i="8"/>
  <c r="I15" i="8" l="1"/>
  <c r="C15" i="8" l="1"/>
  <c r="F15" i="8" s="1"/>
  <c r="C12" i="8" l="1"/>
  <c r="D61" i="7"/>
  <c r="C11" i="8" l="1"/>
  <c r="F12" i="8"/>
  <c r="N205" i="10"/>
  <c r="N5" i="10" s="1"/>
  <c r="F11" i="8" l="1"/>
  <c r="F8" i="8" s="1"/>
  <c r="C8" i="8"/>
  <c r="E9" i="10"/>
  <c r="E5" i="10" s="1"/>
  <c r="G9" i="10" l="1"/>
  <c r="G5" i="10" s="1"/>
  <c r="E61" i="7"/>
  <c r="G61" i="7" s="1"/>
  <c r="D8" i="8" l="1"/>
  <c r="N323" i="11" l="1"/>
  <c r="N322" i="11" s="1"/>
  <c r="L21" i="8" l="1"/>
  <c r="J21" i="8"/>
  <c r="N251" i="11" l="1"/>
  <c r="E251" i="11" l="1"/>
  <c r="G251" i="11" s="1"/>
  <c r="L28" i="7" l="1"/>
  <c r="N28" i="7" s="1"/>
  <c r="P271" i="11"/>
  <c r="P259" i="11" s="1"/>
  <c r="N271" i="11" l="1"/>
  <c r="N259" i="11" s="1"/>
  <c r="F272" i="11"/>
  <c r="F271" i="11" l="1"/>
  <c r="N256" i="11"/>
  <c r="N250" i="11" s="1"/>
  <c r="P249" i="11" l="1"/>
  <c r="P5" i="11" s="1"/>
  <c r="N249" i="11"/>
  <c r="N5" i="11" s="1"/>
  <c r="F259" i="11"/>
  <c r="F250" i="11"/>
  <c r="P1" i="11" l="1"/>
  <c r="E250" i="11"/>
  <c r="L30" i="7"/>
  <c r="G256" i="11"/>
  <c r="M9" i="7"/>
  <c r="M61" i="7" s="1"/>
  <c r="K16" i="8"/>
  <c r="F249" i="11"/>
  <c r="O5" i="11" l="1"/>
  <c r="O2" i="11" s="1"/>
  <c r="N30" i="7"/>
  <c r="N27" i="7" s="1"/>
  <c r="N26" i="7" s="1"/>
  <c r="N9" i="7" s="1"/>
  <c r="L27" i="7"/>
  <c r="E249" i="11"/>
  <c r="E5" i="11" s="1"/>
  <c r="G250" i="11"/>
  <c r="L15" i="8"/>
  <c r="K15" i="8"/>
  <c r="K8" i="8" s="1"/>
  <c r="F5" i="11"/>
  <c r="G249" i="11" l="1"/>
  <c r="G5" i="11" s="1"/>
  <c r="L26" i="7"/>
  <c r="J14" i="8" l="1"/>
  <c r="J13" i="8" s="1"/>
  <c r="J8" i="8" s="1"/>
  <c r="L9" i="7"/>
  <c r="L61" i="7" s="1"/>
  <c r="K26" i="7" l="1"/>
  <c r="I14" i="8" l="1"/>
  <c r="L14" i="8" s="1"/>
  <c r="L13" i="8" s="1"/>
  <c r="L8" i="8" s="1"/>
  <c r="K9" i="7"/>
  <c r="K61" i="7" s="1"/>
  <c r="N61" i="7" s="1"/>
  <c r="I13" i="8" l="1"/>
  <c r="I8" i="8" s="1"/>
  <c r="J10" i="1"/>
  <c r="E10" i="1"/>
  <c r="P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양평쉼터5</author>
  </authors>
  <commentList>
    <comment ref="A162" authorId="0" shapeId="0" xr:uid="{A2490B9A-4E40-42FB-9435-C7CD0D75EA7C}">
      <text>
        <r>
          <rPr>
            <b/>
            <sz val="9"/>
            <color indexed="81"/>
            <rFont val="돋움"/>
            <family val="3"/>
            <charset val="129"/>
          </rPr>
          <t>양평쉼터</t>
        </r>
        <r>
          <rPr>
            <b/>
            <sz val="9"/>
            <color indexed="81"/>
            <rFont val="Tahoma"/>
            <family val="2"/>
          </rPr>
          <t>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이월금대로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자금원별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자금원대로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보조금수입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보조금이월금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총계에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양평쉼터5</author>
  </authors>
  <commentList>
    <comment ref="A205" authorId="0" shapeId="0" xr:uid="{012789BA-9585-4B0D-B8EA-359A195F0D72}">
      <text>
        <r>
          <rPr>
            <b/>
            <sz val="9"/>
            <color indexed="81"/>
            <rFont val="돋움"/>
            <family val="3"/>
            <charset val="129"/>
          </rPr>
          <t>양평쉼터</t>
        </r>
        <r>
          <rPr>
            <b/>
            <sz val="9"/>
            <color indexed="81"/>
            <rFont val="Tahoma"/>
            <family val="2"/>
          </rPr>
          <t>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총계는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이월금대로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합산함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자금원별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자금원대로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보조금수입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보조금이월금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돋움"/>
            <family val="3"/>
            <charset val="129"/>
          </rPr>
          <t>총계에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seyeon1113@gmail.com</author>
  </authors>
  <commentList>
    <comment ref="A2" authorId="0" shapeId="0" xr:uid="{0C3B2E87-EC2E-4FAD-B24C-F90ABEB38A0F}">
      <text>
        <r>
          <rPr>
            <b/>
            <sz val="12"/>
            <color indexed="81"/>
            <rFont val="Tahoma"/>
            <family val="2"/>
          </rPr>
          <t>2025</t>
        </r>
        <r>
          <rPr>
            <b/>
            <sz val="12"/>
            <color indexed="81"/>
            <rFont val="돋움"/>
            <family val="3"/>
            <charset val="129"/>
          </rPr>
          <t>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인건비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산출내역서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토대로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<sst xmlns="http://schemas.openxmlformats.org/spreadsheetml/2006/main" count="2380" uniqueCount="720">
  <si>
    <t>서울시립 양평쉼터 직원 보수일람표</t>
    <phoneticPr fontId="3" type="noConversion"/>
  </si>
  <si>
    <t>서울특별시립 양평쉼터</t>
    <phoneticPr fontId="3" type="noConversion"/>
  </si>
  <si>
    <t>호봉</t>
  </si>
  <si>
    <t>기본급</t>
    <phoneticPr fontId="3" type="noConversion"/>
  </si>
  <si>
    <t>급식비</t>
    <phoneticPr fontId="3" type="noConversion"/>
  </si>
  <si>
    <t>가족수당</t>
    <phoneticPr fontId="3" type="noConversion"/>
  </si>
  <si>
    <t>연장근로수당</t>
    <phoneticPr fontId="3" type="noConversion"/>
  </si>
  <si>
    <t>명절휴가비</t>
    <phoneticPr fontId="3" type="noConversion"/>
  </si>
  <si>
    <t>관리자수당</t>
    <phoneticPr fontId="3" type="noConversion"/>
  </si>
  <si>
    <t>복지포인트</t>
    <phoneticPr fontId="3" type="noConversion"/>
  </si>
  <si>
    <t>시설장</t>
    <phoneticPr fontId="3" type="noConversion"/>
  </si>
  <si>
    <t>김도진</t>
    <phoneticPr fontId="3" type="noConversion"/>
  </si>
  <si>
    <t>임선미</t>
    <phoneticPr fontId="3" type="noConversion"/>
  </si>
  <si>
    <t>서성범</t>
    <phoneticPr fontId="3" type="noConversion"/>
  </si>
  <si>
    <t>김민서</t>
    <phoneticPr fontId="3" type="noConversion"/>
  </si>
  <si>
    <t>이정훈</t>
    <phoneticPr fontId="3" type="noConversion"/>
  </si>
  <si>
    <t>이성준</t>
    <phoneticPr fontId="3" type="noConversion"/>
  </si>
  <si>
    <t>정영호</t>
    <phoneticPr fontId="3" type="noConversion"/>
  </si>
  <si>
    <t>김기수</t>
    <phoneticPr fontId="3" type="noConversion"/>
  </si>
  <si>
    <t>이세연</t>
    <phoneticPr fontId="3" type="noConversion"/>
  </si>
  <si>
    <t>손영수</t>
    <phoneticPr fontId="3" type="noConversion"/>
  </si>
  <si>
    <t>김진영</t>
    <phoneticPr fontId="3" type="noConversion"/>
  </si>
  <si>
    <t>김명선</t>
    <phoneticPr fontId="3" type="noConversion"/>
  </si>
  <si>
    <t>이승연</t>
    <phoneticPr fontId="3" type="noConversion"/>
  </si>
  <si>
    <t>정태임</t>
    <phoneticPr fontId="3" type="noConversion"/>
  </si>
  <si>
    <t>사회보장비</t>
    <phoneticPr fontId="3" type="noConversion"/>
  </si>
  <si>
    <t>인쇄 및 유인물</t>
    <phoneticPr fontId="3" type="noConversion"/>
  </si>
  <si>
    <t>ㅇㅇㅇ</t>
  </si>
  <si>
    <t>ㅇㅇㅇ</t>
    <phoneticPr fontId="3" type="noConversion"/>
  </si>
  <si>
    <t xml:space="preserve">    서울특별시립 양평쉼터</t>
    <phoneticPr fontId="18" type="noConversion"/>
  </si>
  <si>
    <t>세입예산서</t>
    <phoneticPr fontId="3" type="noConversion"/>
  </si>
  <si>
    <t>과        목</t>
    <phoneticPr fontId="3" type="noConversion"/>
  </si>
  <si>
    <t>산   출   기   초</t>
    <phoneticPr fontId="3" type="noConversion"/>
  </si>
  <si>
    <t>보조금</t>
    <phoneticPr fontId="3" type="noConversion"/>
  </si>
  <si>
    <t>전입금</t>
    <phoneticPr fontId="3" type="noConversion"/>
  </si>
  <si>
    <t>후원금</t>
    <phoneticPr fontId="3" type="noConversion"/>
  </si>
  <si>
    <t>잡수입</t>
    <phoneticPr fontId="3" type="noConversion"/>
  </si>
  <si>
    <t>합계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</si>
  <si>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</si>
  <si>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</si>
  <si>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</si>
  <si>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합        계</t>
    <phoneticPr fontId="3" type="noConversion"/>
  </si>
  <si>
    <t>소 계</t>
    <phoneticPr fontId="3" type="noConversion"/>
  </si>
  <si>
    <t>시군구보조금</t>
    <phoneticPr fontId="3" type="noConversion"/>
  </si>
  <si>
    <t>인건비</t>
    <phoneticPr fontId="3" type="noConversion"/>
  </si>
  <si>
    <t>4,697,000
4,751,000</t>
    <phoneticPr fontId="3" type="noConversion"/>
  </si>
  <si>
    <t>*10개월= 46,970,000
*2개월=  9,502,000</t>
    <phoneticPr fontId="3" type="noConversion"/>
  </si>
  <si>
    <t>4,075,000
4,121,000</t>
    <phoneticPr fontId="3" type="noConversion"/>
  </si>
  <si>
    <t>*6개월= 24,450,000
*6개월= 24,726,000</t>
    <phoneticPr fontId="3" type="noConversion"/>
  </si>
  <si>
    <t>3,503,000
3,585,000</t>
    <phoneticPr fontId="3" type="noConversion"/>
  </si>
  <si>
    <t>*6개월= 21,018,000
*6개월= 21,354,000</t>
    <phoneticPr fontId="3" type="noConversion"/>
  </si>
  <si>
    <t>3,310,000
3,357,000</t>
    <phoneticPr fontId="3" type="noConversion"/>
  </si>
  <si>
    <t>*8개월= 26,480,000
*4개월= 13,428,000</t>
    <phoneticPr fontId="3" type="noConversion"/>
  </si>
  <si>
    <t>3,403,000
3,455,000</t>
    <phoneticPr fontId="3" type="noConversion"/>
  </si>
  <si>
    <t>*11개월= 37,433,000
*1개월= 3,455,000</t>
    <phoneticPr fontId="3" type="noConversion"/>
  </si>
  <si>
    <t>2,177,000
2,255,000</t>
    <phoneticPr fontId="3" type="noConversion"/>
  </si>
  <si>
    <t>*2개월= 4,354,000
*10개월= 22,550,000</t>
    <phoneticPr fontId="3" type="noConversion"/>
  </si>
  <si>
    <t>*12개월= 27,060,000</t>
    <phoneticPr fontId="3" type="noConversion"/>
  </si>
  <si>
    <t>2,325,000
2,408,000</t>
    <phoneticPr fontId="3" type="noConversion"/>
  </si>
  <si>
    <t>*3개월= 6,975,000
*9개월= 21,672,000</t>
    <phoneticPr fontId="3" type="noConversion"/>
  </si>
  <si>
    <t>2,081,000
2,177,000</t>
    <phoneticPr fontId="3" type="noConversion"/>
  </si>
  <si>
    <t>*11개월=22,891,000
*1개월= 2,177,000</t>
    <phoneticPr fontId="3" type="noConversion"/>
  </si>
  <si>
    <t>2,051,000
2,061,000</t>
    <phoneticPr fontId="3" type="noConversion"/>
  </si>
  <si>
    <t>*11개월=22,561,000
*1개월= 2,061,000</t>
    <phoneticPr fontId="3" type="noConversion"/>
  </si>
  <si>
    <t>2,288,000
2,373,000</t>
    <phoneticPr fontId="3" type="noConversion"/>
  </si>
  <si>
    <t>*4개월= 9,152,000
*8개월= 18,984,000</t>
    <phoneticPr fontId="3" type="noConversion"/>
  </si>
  <si>
    <t>*12개월= 30,828,000</t>
    <phoneticPr fontId="3" type="noConversion"/>
  </si>
  <si>
    <t>*5개월= 11,440,000
*7개월= 16,611,000</t>
    <phoneticPr fontId="3" type="noConversion"/>
  </si>
  <si>
    <t>2,324,000
2,395,000</t>
    <phoneticPr fontId="3" type="noConversion"/>
  </si>
  <si>
    <t>*6개월= 13,944,000
*6개월= 14,370,000</t>
    <phoneticPr fontId="3" type="noConversion"/>
  </si>
  <si>
    <t>100,000*15명*12개월</t>
    <phoneticPr fontId="3" type="noConversion"/>
  </si>
  <si>
    <t>*1/209*1.5*15*6=  2,696,760
*1/209*1.5*15*6=  2,726,460</t>
    <phoneticPr fontId="3" type="noConversion"/>
  </si>
  <si>
    <t>*1/209*1.5*15*6= 2,327,280  *1/209*1.5*15*6= 2,363,460</t>
    <phoneticPr fontId="3" type="noConversion"/>
  </si>
  <si>
    <t>*1/209*1.5*15*8=  2,936,800 
*1/209*1.5*15*4=  1,488,640</t>
    <phoneticPr fontId="3" type="noConversion"/>
  </si>
  <si>
    <t>*1/209*1.5*15*11= 4,148,210 
*1/209*1.5*15*1=     382,710</t>
    <phoneticPr fontId="3" type="noConversion"/>
  </si>
  <si>
    <t>*1/209*1.5*15*2=     490,260
*1/209*1.5*15*10= 2,535,200</t>
    <phoneticPr fontId="3" type="noConversion"/>
  </si>
  <si>
    <t>*1/209*1.5*15*12= 3,025,460</t>
    <phoneticPr fontId="3" type="noConversion"/>
  </si>
  <si>
    <t>*1/209*1.5*15*3=     783,180 
*1/209*1.5*15*9=   2,430,000</t>
    <phoneticPr fontId="3" type="noConversion"/>
  </si>
  <si>
    <t>*1/209*1.5*15*11= 2,582,690
*1/209*1.5*15*1=     245,130</t>
    <phoneticPr fontId="3" type="noConversion"/>
  </si>
  <si>
    <t>*1/209*1.5*15*11= 2,547,160
*1/209*1.5*15*1=     232,640</t>
    <phoneticPr fontId="3" type="noConversion"/>
  </si>
  <si>
    <t>*1/209*1.5*15*4=   1,028,320
*1/209*1.5*15*8=   2,129,840</t>
    <phoneticPr fontId="3" type="noConversion"/>
  </si>
  <si>
    <t>*1/209*1.5*15*12= 3,447,960</t>
    <phoneticPr fontId="3" type="noConversion"/>
  </si>
  <si>
    <t>*1/209*1.5*15*5=  1,285,400
*1/209*1.5*15*7=  1,863,610</t>
    <phoneticPr fontId="3" type="noConversion"/>
  </si>
  <si>
    <t>*1/209*1.5*15*6=  1,565,700
*1/209*1.5*15*6=  1,611,600</t>
    <phoneticPr fontId="3" type="noConversion"/>
  </si>
  <si>
    <t>가족수당20,000*2명*12개월=480,000</t>
    <phoneticPr fontId="3" type="noConversion"/>
  </si>
  <si>
    <t>배우자 40,000*1명*12개월=480,000
가족수당20,000*1명*12개월=240,000</t>
    <phoneticPr fontId="3" type="noConversion"/>
  </si>
  <si>
    <t>배우자 40,000*1명*12개월=480,000
가족수당20,000*3명*12개월=720,000
2자녀 수당 60,000*1명 *12개월=720,000</t>
    <phoneticPr fontId="3" type="noConversion"/>
  </si>
  <si>
    <t>배우자 40,000*1명*12개월=480,000</t>
    <phoneticPr fontId="3" type="noConversion"/>
  </si>
  <si>
    <t>가족수당20,000*1명*12개월=240,000</t>
    <phoneticPr fontId="3" type="noConversion"/>
  </si>
  <si>
    <t>배우자 40,000*1명*2개월=480,000</t>
    <phoneticPr fontId="3" type="noConversion"/>
  </si>
  <si>
    <t>*120%= 5,636,400</t>
    <phoneticPr fontId="3" type="noConversion"/>
  </si>
  <si>
    <t>*60%= 2,445,000
*60%= 2,472,600</t>
    <phoneticPr fontId="3" type="noConversion"/>
  </si>
  <si>
    <t>*60%= 2,101,800
*60%= 2,135,400</t>
    <phoneticPr fontId="3" type="noConversion"/>
  </si>
  <si>
    <t>*60%= 1,986,000
*60%= 2,041,800</t>
    <phoneticPr fontId="3" type="noConversion"/>
  </si>
  <si>
    <t>*120%= 4,083,600</t>
    <phoneticPr fontId="3" type="noConversion"/>
  </si>
  <si>
    <t>*60%= 1,306,200
*60%= 1,353,000</t>
    <phoneticPr fontId="3" type="noConversion"/>
  </si>
  <si>
    <t>*120%= 2,706,000</t>
    <phoneticPr fontId="3" type="noConversion"/>
  </si>
  <si>
    <t>*60%= 1,395,000
*60%= 1,444,800</t>
    <phoneticPr fontId="3" type="noConversion"/>
  </si>
  <si>
    <t>*120%= 2,497,200</t>
    <phoneticPr fontId="3" type="noConversion"/>
  </si>
  <si>
    <t>*120%= 2,461,200</t>
    <phoneticPr fontId="3" type="noConversion"/>
  </si>
  <si>
    <t>*60%= 1,372,800
*60%= 1,423,800</t>
    <phoneticPr fontId="3" type="noConversion"/>
  </si>
  <si>
    <t>*120%= 3,082,800</t>
    <phoneticPr fontId="3" type="noConversion"/>
  </si>
  <si>
    <t>*60%= 1,394,400
*60%= 1,437,000</t>
    <phoneticPr fontId="3" type="noConversion"/>
  </si>
  <si>
    <t>200,000*12개월=2,400,000</t>
    <phoneticPr fontId="3" type="noConversion"/>
  </si>
  <si>
    <t>복지포인트(10호봉이상)</t>
    <phoneticPr fontId="3" type="noConversion"/>
  </si>
  <si>
    <t>330,000 * 7 = 2,310,000</t>
    <phoneticPr fontId="3" type="noConversion"/>
  </si>
  <si>
    <t>복지포인트(10호봉미만)</t>
    <phoneticPr fontId="3" type="noConversion"/>
  </si>
  <si>
    <t>250,000 * 8 = 2,000,000</t>
    <phoneticPr fontId="3" type="noConversion"/>
  </si>
  <si>
    <t>퇴직충당금</t>
    <phoneticPr fontId="3" type="noConversion"/>
  </si>
  <si>
    <t>국민연금</t>
    <phoneticPr fontId="3" type="noConversion"/>
  </si>
  <si>
    <t>건강보험 및 장기요양보험</t>
    <phoneticPr fontId="3" type="noConversion"/>
  </si>
  <si>
    <t>고용보험</t>
    <phoneticPr fontId="3" type="noConversion"/>
  </si>
  <si>
    <t>산재보험</t>
    <phoneticPr fontId="3" type="noConversion"/>
  </si>
  <si>
    <t>생계비</t>
    <phoneticPr fontId="3" type="noConversion"/>
  </si>
  <si>
    <t>기능보강(서울시 기능보강사업비)</t>
    <phoneticPr fontId="3" type="noConversion"/>
  </si>
  <si>
    <t>서울시 지원 기능보강사업비</t>
    <phoneticPr fontId="3" type="noConversion"/>
  </si>
  <si>
    <t>사업비</t>
    <phoneticPr fontId="3" type="noConversion"/>
  </si>
  <si>
    <t>특별자활(소계)</t>
    <phoneticPr fontId="3" type="noConversion"/>
  </si>
  <si>
    <t>특별자활</t>
    <phoneticPr fontId="3" type="noConversion"/>
  </si>
  <si>
    <t>일자리갖기(소계)</t>
    <phoneticPr fontId="3" type="noConversion"/>
  </si>
  <si>
    <t>일자리갖기</t>
    <phoneticPr fontId="3" type="noConversion"/>
  </si>
  <si>
    <t>프로그램(소계)</t>
    <phoneticPr fontId="3" type="noConversion"/>
  </si>
  <si>
    <t>서울시 자활프로그램</t>
    <phoneticPr fontId="3" type="noConversion"/>
  </si>
  <si>
    <t>공동작업장 간식비</t>
    <phoneticPr fontId="3" type="noConversion"/>
  </si>
  <si>
    <t>설명절</t>
    <phoneticPr fontId="3" type="noConversion"/>
  </si>
  <si>
    <t>추석명절</t>
    <phoneticPr fontId="3" type="noConversion"/>
  </si>
  <si>
    <t>법인전입금</t>
    <phoneticPr fontId="3" type="noConversion"/>
  </si>
  <si>
    <t>냉, 난방비</t>
    <phoneticPr fontId="3" type="noConversion"/>
  </si>
  <si>
    <t>서울시일자리박람회</t>
    <phoneticPr fontId="3" type="noConversion"/>
  </si>
  <si>
    <t>기타잡수입</t>
    <phoneticPr fontId="3" type="noConversion"/>
  </si>
  <si>
    <t>이월금</t>
    <phoneticPr fontId="3" type="noConversion"/>
  </si>
  <si>
    <t>보조금이월금</t>
    <phoneticPr fontId="3" type="noConversion"/>
  </si>
  <si>
    <t>전입금 이월금</t>
    <phoneticPr fontId="3" type="noConversion"/>
  </si>
  <si>
    <t>법인전입금 이월사업비</t>
    <phoneticPr fontId="3" type="noConversion"/>
  </si>
  <si>
    <t>후원금 이월금</t>
    <phoneticPr fontId="3" type="noConversion"/>
  </si>
  <si>
    <t>잡수입 이월금</t>
    <phoneticPr fontId="3" type="noConversion"/>
  </si>
  <si>
    <t>2021년도 세입 예산서</t>
    <phoneticPr fontId="3" type="noConversion"/>
  </si>
  <si>
    <t>사업수입</t>
    <phoneticPr fontId="3" type="noConversion"/>
  </si>
  <si>
    <t>영농사업수입</t>
    <phoneticPr fontId="3" type="noConversion"/>
  </si>
  <si>
    <t>자판기사업수입</t>
    <phoneticPr fontId="3" type="noConversion"/>
  </si>
  <si>
    <t>김도진</t>
  </si>
  <si>
    <t>임선미</t>
  </si>
  <si>
    <t>서성범</t>
  </si>
  <si>
    <t>김민서</t>
  </si>
  <si>
    <t>이정훈</t>
  </si>
  <si>
    <t>이성준</t>
  </si>
  <si>
    <t>손영수</t>
  </si>
  <si>
    <t>정영호</t>
  </si>
  <si>
    <t>이세연</t>
  </si>
  <si>
    <t>김진영</t>
  </si>
  <si>
    <t>김명선</t>
  </si>
  <si>
    <t>이승연</t>
  </si>
  <si>
    <t>정태임</t>
  </si>
  <si>
    <t>임은옥</t>
  </si>
  <si>
    <t>2,061,000
2,071,000</t>
  </si>
  <si>
    <t>*10개월= 20,610,000
*2개월= 4,142,000</t>
  </si>
  <si>
    <t>*1/209*1.5*15*10= 2,326,400
*1/209*1.5*15*2=     467,440</t>
  </si>
  <si>
    <t>휴일급식비:2,500원*3식*113일*100명</t>
    <phoneticPr fontId="3" type="noConversion"/>
  </si>
  <si>
    <t>61,120*100*12개월</t>
    <phoneticPr fontId="3" type="noConversion"/>
  </si>
  <si>
    <t>급여</t>
    <phoneticPr fontId="3" type="noConversion"/>
  </si>
  <si>
    <t>제수당</t>
    <phoneticPr fontId="3" type="noConversion"/>
  </si>
  <si>
    <t>운영비(2020년 기준)</t>
    <phoneticPr fontId="3" type="noConversion"/>
  </si>
  <si>
    <t>사업수입이월금</t>
    <phoneticPr fontId="3" type="noConversion"/>
  </si>
  <si>
    <t>*8.33%= 5,748,640</t>
    <phoneticPr fontId="3" type="noConversion"/>
  </si>
  <si>
    <t>*8.33%= 5,308,920</t>
    <phoneticPr fontId="3" type="noConversion"/>
  </si>
  <si>
    <t>*8.33%= 4,651,740</t>
    <phoneticPr fontId="3" type="noConversion"/>
  </si>
  <si>
    <t>*8.33%= 4,364,230</t>
    <phoneticPr fontId="3" type="noConversion"/>
  </si>
  <si>
    <t>*8.33%= 4,387,820</t>
    <phoneticPr fontId="3" type="noConversion"/>
  </si>
  <si>
    <t>*8.33%= 3,010,480</t>
    <phoneticPr fontId="3" type="noConversion"/>
  </si>
  <si>
    <t>*8.33%= 3,147,360</t>
    <phoneticPr fontId="3" type="noConversion"/>
  </si>
  <si>
    <t>*8.33%= 3,145,930</t>
    <phoneticPr fontId="3" type="noConversion"/>
  </si>
  <si>
    <t>*8.33%= 2,651,170</t>
    <phoneticPr fontId="3" type="noConversion"/>
  </si>
  <si>
    <t>*8.33%= 2,785,070</t>
    <phoneticPr fontId="3" type="noConversion"/>
  </si>
  <si>
    <t>*8.33%= 3,197,040</t>
    <phoneticPr fontId="3" type="noConversion"/>
  </si>
  <si>
    <t>*8.33%= 3,358,720</t>
    <phoneticPr fontId="3" type="noConversion"/>
  </si>
  <si>
    <t>*8.33%= 3,096,620</t>
    <phoneticPr fontId="3" type="noConversion"/>
  </si>
  <si>
    <t>*8.33%= 3,145,700</t>
    <phoneticPr fontId="3" type="noConversion"/>
  </si>
  <si>
    <t>*8.33%= 2,740670</t>
    <phoneticPr fontId="3" type="noConversion"/>
  </si>
  <si>
    <t>*8.33%= 212,490</t>
    <phoneticPr fontId="3" type="noConversion"/>
  </si>
  <si>
    <t>659,258,040*4.5%=29,666,510</t>
    <phoneticPr fontId="3" type="noConversion"/>
  </si>
  <si>
    <t>659,258,040*3.35%=21,986,310
  21,986,310*10.25%=2,253,580</t>
    <phoneticPr fontId="3" type="noConversion"/>
  </si>
  <si>
    <t>659,258,040*0.8%=10,382,160</t>
    <phoneticPr fontId="3" type="noConversion"/>
  </si>
  <si>
    <t>659,258,040*0.79%,=4,907,990</t>
    <phoneticPr fontId="3" type="noConversion"/>
  </si>
  <si>
    <t>잡수입 전년도이월금(세외+잡수입1+직원중식비)</t>
    <phoneticPr fontId="3" type="noConversion"/>
  </si>
  <si>
    <t>사무비</t>
    <phoneticPr fontId="3" type="noConversion"/>
  </si>
  <si>
    <t>업무추진비</t>
    <phoneticPr fontId="3" type="noConversion"/>
  </si>
  <si>
    <t>기관운영비</t>
    <phoneticPr fontId="3" type="noConversion"/>
  </si>
  <si>
    <t>회의비</t>
    <phoneticPr fontId="3" type="noConversion"/>
  </si>
  <si>
    <t>운영비</t>
    <phoneticPr fontId="3" type="noConversion"/>
  </si>
  <si>
    <t>수용비및수수료</t>
    <phoneticPr fontId="3" type="noConversion"/>
  </si>
  <si>
    <t>공공요금</t>
    <phoneticPr fontId="3" type="noConversion"/>
  </si>
  <si>
    <t>제세공과금</t>
    <phoneticPr fontId="3" type="noConversion"/>
  </si>
  <si>
    <t>자동차보험</t>
    <phoneticPr fontId="3" type="noConversion"/>
  </si>
  <si>
    <t>기타 세금 및 수수료</t>
    <phoneticPr fontId="3" type="noConversion"/>
  </si>
  <si>
    <t>차량비</t>
    <phoneticPr fontId="3" type="noConversion"/>
  </si>
  <si>
    <t>기타운영비</t>
    <phoneticPr fontId="3" type="noConversion"/>
  </si>
  <si>
    <t>재산조성비</t>
    <phoneticPr fontId="3" type="noConversion"/>
  </si>
  <si>
    <t>시설비</t>
    <phoneticPr fontId="3" type="noConversion"/>
  </si>
  <si>
    <t>시설비(기능보강비)</t>
    <phoneticPr fontId="3" type="noConversion"/>
  </si>
  <si>
    <t>자산취득비</t>
    <phoneticPr fontId="3" type="noConversion"/>
  </si>
  <si>
    <t>수용기관경비</t>
    <phoneticPr fontId="3" type="noConversion"/>
  </si>
  <si>
    <t>의료비</t>
    <phoneticPr fontId="3" type="noConversion"/>
  </si>
  <si>
    <t>직원복리후생비</t>
    <phoneticPr fontId="3" type="noConversion"/>
  </si>
  <si>
    <t>주거지원사업</t>
    <phoneticPr fontId="3" type="noConversion"/>
  </si>
  <si>
    <t>잡지출</t>
    <phoneticPr fontId="3" type="noConversion"/>
  </si>
  <si>
    <t>반환금</t>
    <phoneticPr fontId="3" type="noConversion"/>
  </si>
  <si>
    <t>보조금수입</t>
    <phoneticPr fontId="3" type="noConversion"/>
  </si>
  <si>
    <t>후원금수입</t>
    <phoneticPr fontId="3" type="noConversion"/>
  </si>
  <si>
    <t>지정후원금</t>
    <phoneticPr fontId="3" type="noConversion"/>
  </si>
  <si>
    <t>비지정후원금</t>
    <phoneticPr fontId="3" type="noConversion"/>
  </si>
  <si>
    <t>CMS계좌후원금</t>
    <phoneticPr fontId="3" type="noConversion"/>
  </si>
  <si>
    <t>비지정계좌후원금</t>
    <phoneticPr fontId="3" type="noConversion"/>
  </si>
  <si>
    <t>사회복지시설실습</t>
    <phoneticPr fontId="3" type="noConversion"/>
  </si>
  <si>
    <t>소계</t>
    <phoneticPr fontId="3" type="noConversion"/>
  </si>
  <si>
    <t>종사자식대(15명? 16명?)</t>
    <phoneticPr fontId="3" type="noConversion"/>
  </si>
  <si>
    <t>영농사업</t>
    <phoneticPr fontId="3" type="noConversion"/>
  </si>
  <si>
    <t>후원관리사업비</t>
    <phoneticPr fontId="3" type="noConversion"/>
  </si>
  <si>
    <t>*1개월=2,203,000</t>
    <phoneticPr fontId="3" type="noConversion"/>
  </si>
  <si>
    <t>*1/209*1.5*15*1=     247,930</t>
    <phoneticPr fontId="3" type="noConversion"/>
  </si>
  <si>
    <t>서울특별시립 양평쉼터</t>
    <phoneticPr fontId="18" type="noConversion"/>
  </si>
  <si>
    <t>세입예산</t>
    <phoneticPr fontId="18" type="noConversion"/>
  </si>
  <si>
    <t>세출예산</t>
    <phoneticPr fontId="18" type="noConversion"/>
  </si>
  <si>
    <t>관</t>
    <phoneticPr fontId="18" type="noConversion"/>
  </si>
  <si>
    <t>항</t>
    <phoneticPr fontId="18" type="noConversion"/>
  </si>
  <si>
    <t>목</t>
    <phoneticPr fontId="18" type="noConversion"/>
  </si>
  <si>
    <t>본 예산</t>
    <phoneticPr fontId="3" type="noConversion"/>
  </si>
  <si>
    <t>1차 추경예산</t>
    <phoneticPr fontId="18" type="noConversion"/>
  </si>
  <si>
    <t>2차 추경예산</t>
    <phoneticPr fontId="3" type="noConversion"/>
  </si>
  <si>
    <t>증감</t>
    <phoneticPr fontId="3" type="noConversion"/>
  </si>
  <si>
    <t xml:space="preserve">관 </t>
    <phoneticPr fontId="18" type="noConversion"/>
  </si>
  <si>
    <t>총 계</t>
    <phoneticPr fontId="3" type="noConversion"/>
  </si>
  <si>
    <t>사업수익</t>
    <phoneticPr fontId="3" type="noConversion"/>
  </si>
  <si>
    <t>기능보강비</t>
    <phoneticPr fontId="3" type="noConversion"/>
  </si>
  <si>
    <t>전입금</t>
  </si>
  <si>
    <t>법인전입금</t>
  </si>
  <si>
    <t>잡수입</t>
  </si>
  <si>
    <t>종사자식대</t>
  </si>
  <si>
    <t>예금이자수입</t>
  </si>
  <si>
    <t>전입금 이월금</t>
  </si>
  <si>
    <t>후원금 이월금</t>
  </si>
  <si>
    <t>잡수입 이월금</t>
  </si>
  <si>
    <t>총  계</t>
    <phoneticPr fontId="18" type="noConversion"/>
  </si>
  <si>
    <t>구분</t>
    <phoneticPr fontId="18" type="noConversion"/>
  </si>
  <si>
    <t>경상보조금</t>
    <phoneticPr fontId="3" type="noConversion"/>
  </si>
  <si>
    <t>과년도지출</t>
    <phoneticPr fontId="3" type="noConversion"/>
  </si>
  <si>
    <t>반납금</t>
    <phoneticPr fontId="3" type="noConversion"/>
  </si>
  <si>
    <t>영농5,000,000원 자판기 500,000원</t>
    <phoneticPr fontId="3" type="noConversion"/>
  </si>
  <si>
    <t>후원금 이월금(난방비1,200,000,비지정7,000,000,cms800,000)</t>
    <phoneticPr fontId="3" type="noConversion"/>
  </si>
  <si>
    <t>보조금전년도이월금(기존액8,692,988+추정액44,642,000)</t>
    <phoneticPr fontId="3" type="noConversion"/>
  </si>
  <si>
    <t>직원중식비</t>
    <phoneticPr fontId="3" type="noConversion"/>
  </si>
  <si>
    <t>급식비:2,500원*2식*252일*100명</t>
    <phoneticPr fontId="3" type="noConversion"/>
  </si>
  <si>
    <t>평일중식비:2,500원*1식*252일*100명*30%</t>
    <phoneticPr fontId="3" type="noConversion"/>
  </si>
  <si>
    <t>공동작업장 간식비 10명*30,000원*12개월</t>
    <phoneticPr fontId="3" type="noConversion"/>
  </si>
  <si>
    <t>복지포인트제외</t>
    <phoneticPr fontId="3" type="noConversion"/>
  </si>
  <si>
    <t>세입추경예산서</t>
    <phoneticPr fontId="3" type="noConversion"/>
  </si>
  <si>
    <t>당초(A)</t>
    <phoneticPr fontId="3" type="noConversion"/>
  </si>
  <si>
    <t>추경1(B)</t>
    <phoneticPr fontId="3" type="noConversion"/>
  </si>
  <si>
    <t>추경2(C)</t>
    <phoneticPr fontId="3" type="noConversion"/>
  </si>
  <si>
    <t>증감(B-A)</t>
    <phoneticPr fontId="3" type="noConversion"/>
  </si>
  <si>
    <t>*12개월= 1,200,000</t>
  </si>
  <si>
    <t>종사자식대</t>
    <phoneticPr fontId="3" type="noConversion"/>
  </si>
  <si>
    <t>4,949,000
4,989,000</t>
  </si>
  <si>
    <t>4,275,000
4,331,000</t>
  </si>
  <si>
    <t>3,738,000
3,797,000</t>
  </si>
  <si>
    <t>3,474,000
3,545,000</t>
  </si>
  <si>
    <t>3,614,000
3,680,000</t>
  </si>
  <si>
    <t>2,490,000
2,561,000</t>
  </si>
  <si>
    <t>2,251,000
2,331,000</t>
  </si>
  <si>
    <t>2,180,000
2,191,000</t>
  </si>
  <si>
    <t>2,524,000
2,610,000</t>
  </si>
  <si>
    <t>2,451,000
2,524,000</t>
  </si>
  <si>
    <t>2,475,000
2,527,000</t>
  </si>
  <si>
    <t>2,187,000
2,197,000</t>
  </si>
  <si>
    <t>*11개월= 26,444,000</t>
  </si>
  <si>
    <t>*12개월= 28,848,000</t>
  </si>
  <si>
    <t>*12개월= 32,376,000</t>
  </si>
  <si>
    <t>*1개월=2,222,000</t>
  </si>
  <si>
    <t>*10개월= 49,490,000
 *2개월=  9,978,000</t>
    <phoneticPr fontId="3" type="noConversion"/>
  </si>
  <si>
    <t>*6개월= 25,650,000
 *6개월= 25,986,000</t>
    <phoneticPr fontId="3" type="noConversion"/>
  </si>
  <si>
    <t>*6개월= 22,428,000
 *6개월= 22,782,000</t>
    <phoneticPr fontId="3" type="noConversion"/>
  </si>
  <si>
    <t>*8개월= 27,792,000
 *4개월= 14,180,000</t>
    <phoneticPr fontId="3" type="noConversion"/>
  </si>
  <si>
    <t>*11개월= 39,754,000
 *1개월= 3,680,000</t>
    <phoneticPr fontId="3" type="noConversion"/>
  </si>
  <si>
    <t>*4개월= 9,960,000
 *8개월= 20,488,000</t>
    <phoneticPr fontId="3" type="noConversion"/>
  </si>
  <si>
    <t>*10개월=22,510,000
 *1개월= 2,331,000</t>
    <phoneticPr fontId="3" type="noConversion"/>
  </si>
  <si>
    <t>*11개월=23,980,000
 *1개월= 2,191,000</t>
    <phoneticPr fontId="3" type="noConversion"/>
  </si>
  <si>
    <t>*10개월=25,240,000
 *2개월=5,220,000</t>
    <phoneticPr fontId="3" type="noConversion"/>
  </si>
  <si>
    <t>*5개월= 12,255,000
 *7개월= 17,668,000</t>
    <phoneticPr fontId="3" type="noConversion"/>
  </si>
  <si>
    <t xml:space="preserve">*6개월=14,850,000
 *6개월=15,162,000 </t>
    <phoneticPr fontId="3" type="noConversion"/>
  </si>
  <si>
    <t>*10개월= 21,870,000
 *2개월= 4,394,000</t>
    <phoneticPr fontId="3" type="noConversion"/>
  </si>
  <si>
    <t xml:space="preserve"> *1개월=  100,000</t>
    <phoneticPr fontId="3" type="noConversion"/>
  </si>
  <si>
    <t>*11개월= 1,100,000</t>
    <phoneticPr fontId="3" type="noConversion"/>
  </si>
  <si>
    <t>4,375,000
4,431,000</t>
  </si>
  <si>
    <t>*1/209*1.5*15*6=  2,825,940
*1/209*1.5*15*6=  2,862,120</t>
  </si>
  <si>
    <t>3,838,000
3,897,000</t>
  </si>
  <si>
    <t>*1/209*1.5*15*6= 2,479,080
*1/209*1.5*15*6= 2,517,180</t>
  </si>
  <si>
    <t>3,574,000
3,645,000</t>
  </si>
  <si>
    <t>*1/209*1.5*15*8=  3,078,080
*1/209*1.5*15*4=  1,569,600</t>
  </si>
  <si>
    <t>3,714,000
3,780,000</t>
  </si>
  <si>
    <t>*1/209*1.5*15*11= 4,398,130 
*1/209*1.5*15*1=     406,930</t>
  </si>
  <si>
    <t>*1/209*1.5*15*11= 2,965,160</t>
  </si>
  <si>
    <t>*1/209*1.5*15*12= 3,234,720</t>
  </si>
  <si>
    <t>2,590,000
2,661,000</t>
  </si>
  <si>
    <t>*1/209*1.5*15*4=   1,115,280
*1/209*1.5*15*8=   2,291,760</t>
  </si>
  <si>
    <t>2,351,000
2,431,000</t>
  </si>
  <si>
    <t>*1/209*1.5*15*10= 2,530,900
*1/209*1.5*15*1=     261,710</t>
  </si>
  <si>
    <t>2,280,000
2,291,000</t>
  </si>
  <si>
    <t>*1/209*1.5*15*11= 2,699,950
*1/209*1.5*15*1=     246,630</t>
  </si>
  <si>
    <t>2,624,000
2,710,000</t>
  </si>
  <si>
    <t>*1/209*1.5*15*10= 2,824,800
*1/209*1.5*15*2=     583,480</t>
  </si>
  <si>
    <t>*1/209*1.5*15*12= 3,614,640</t>
  </si>
  <si>
    <t>2,551,000
2,624,000</t>
  </si>
  <si>
    <t>*1/209*1.5*15*5=  1,373,100
*1/209*1.5*15*7=  1,977,360</t>
  </si>
  <si>
    <t>2,575,000
2,627,000</t>
  </si>
  <si>
    <t>*1/209*1.5*15*6=  1,663,260
*1/209*1.5*15*6=  1,696,860</t>
  </si>
  <si>
    <t>2,287,000
2,297,000</t>
  </si>
  <si>
    <t>*1/209*1.5*15*10= 2,462,000
*1/209*1.5*15*2=     494,560</t>
  </si>
  <si>
    <t>*1/209*1.5*15*1=     249,970</t>
  </si>
  <si>
    <t>배우자40,000*1명*12개월=480,000
가족수당20,000*2명*12개월=480,000</t>
  </si>
  <si>
    <t>가족수당20,000*2명*12개월=480,000</t>
  </si>
  <si>
    <t>배우자 40,000*1명*12개월=480,000</t>
  </si>
  <si>
    <t>배우자 40,000*1명*12개월=480,000
가족수당20,000*1명*12개월=240,000</t>
  </si>
  <si>
    <t>배우자 40,000*1명*12개월=480,000
가족수당20,000*3명*12개월=720,000
2자녀 수당 60,000*1명 *12개월=720,000</t>
  </si>
  <si>
    <t>배우자 40,000*1명*11개월=440,000
가족수당20,000*1명*11개월=220,000</t>
  </si>
  <si>
    <t>배우자 40,000*1명*12개월=480,000
가족수당20,000*2명*12개월=480,000</t>
  </si>
  <si>
    <t>가족수당20,000*1명*12개월=240,000</t>
  </si>
  <si>
    <t>배우자 40,000*1명*2개월=480,000</t>
  </si>
  <si>
    <t>*120%= 5,938,800</t>
  </si>
  <si>
    <t>*60%= 2,565,000
*60%= 2,598,600</t>
  </si>
  <si>
    <t>*60%= 2,242,800
*60%= 2,278,200</t>
  </si>
  <si>
    <t>*60%= 2,084,400
*60%= 2,127,000</t>
  </si>
  <si>
    <t>*120%= 4,336,800</t>
  </si>
  <si>
    <t>*120%= 2,884,800</t>
  </si>
  <si>
    <t>*60%= 1,494,000
*60%= 1,536,600</t>
  </si>
  <si>
    <t>*120%= 2,701,200</t>
  </si>
  <si>
    <t>*120%= 2,616,000</t>
  </si>
  <si>
    <t>*120%= 3,028,800</t>
  </si>
  <si>
    <t>*120%= 3,237,600</t>
  </si>
  <si>
    <t>*60%= 1,470,600
*60%= 1,514,400</t>
  </si>
  <si>
    <t>*60%= 1,485,000
*60%= 1,516,200</t>
  </si>
  <si>
    <t>*120%= 2,624,400</t>
  </si>
  <si>
    <t>*8.33%= 5,828,280</t>
  </si>
  <si>
    <t>*8.33%= 5,345,150</t>
  </si>
  <si>
    <t>*8.33%= 4,698,750</t>
  </si>
  <si>
    <t>*8.33%= 4,394,130</t>
  </si>
  <si>
    <t>*8.33%= 4,539,510</t>
  </si>
  <si>
    <t>*8.33%= 2,781,740</t>
  </si>
  <si>
    <t>*8.33%= 3,172,740</t>
  </si>
  <si>
    <t>*8.33%= 3,172,490</t>
  </si>
  <si>
    <t>*8.33%= 2,673,500</t>
  </si>
  <si>
    <t>*8.33%= 2,823,300</t>
  </si>
  <si>
    <t>*8.33%= 3,233,480</t>
  </si>
  <si>
    <t>*8.33%= 3,387,660</t>
  </si>
  <si>
    <t>*8.33%= 3,120,280</t>
  </si>
  <si>
    <t>*8.33%= 3,169,840</t>
  </si>
  <si>
    <t>*8.33%= 2,783,460</t>
  </si>
  <si>
    <t>*8.33%= 214,250</t>
  </si>
  <si>
    <t>급식비
1분기: 3,500원*2식*60일*74명=31,080,000
2분기: 3,500원*2식*60일*77명=32,340,000
하반기: 3,500원*2식*132일*100명=92,400,000</t>
  </si>
  <si>
    <t>휴일급식비
1분기: 3,500원*3식*30일*74명= 23,310,000
2분기: 3,500원*3식*30일*77명= 24,255,000
하반기: 3,500원*3식*53일*100명= 55,650,000</t>
  </si>
  <si>
    <t>평일중식비
1분기: 3,500원*1식*60일*74명*30%= 4,662,000
2분기: 3,500원*1식*60일*30%= 5,093,550 
하반기: 3,500원*1식*132일*100명*30%= 13,860,000</t>
  </si>
  <si>
    <t>1분기: 61,120*74*3개월= 13,568,640
2분기: 61,120*77*3개월= 14,118,720
하반기: 61,120*100*6개월= 36,672,000</t>
  </si>
  <si>
    <t>2021년도 1차 세입 추경예산서</t>
    <phoneticPr fontId="3" type="noConversion"/>
  </si>
  <si>
    <t>2500원</t>
    <phoneticPr fontId="3" type="noConversion"/>
  </si>
  <si>
    <t>3500원</t>
    <phoneticPr fontId="3" type="noConversion"/>
  </si>
  <si>
    <t>난방기기 지원사업 3,000,000
창고 및 체력단력실 철거공사 12,000,000
생활관 도배 및 방수 공사 17,431,000</t>
    <phoneticPr fontId="3" type="noConversion"/>
  </si>
  <si>
    <t>설명절</t>
  </si>
  <si>
    <t>추석명절</t>
  </si>
  <si>
    <t>지정후원금(냉난방200, 추석200, 서울시일자리30)_설제외</t>
    <phoneticPr fontId="3" type="noConversion"/>
  </si>
  <si>
    <t>비지정계좌후원금400, CMS계좌후원금654</t>
    <phoneticPr fontId="3" type="noConversion"/>
  </si>
  <si>
    <t>보조금이월금</t>
  </si>
  <si>
    <t>사업수입이월금</t>
  </si>
  <si>
    <t>영농7,000,857원 자판기 473,212원</t>
    <phoneticPr fontId="3" type="noConversion"/>
  </si>
  <si>
    <t>법인전입금 이월사업비(44,570,907+이자48,795)</t>
    <phoneticPr fontId="3" type="noConversion"/>
  </si>
  <si>
    <t>후원금 이월금(지정후원금1,200,000, 비지정후원금8,986,411, 이자 7,850)</t>
    <phoneticPr fontId="3" type="noConversion"/>
  </si>
  <si>
    <t>잡수입 전년도이월금(영농배분금9907997, 이자 9882, 영농사업이자 4666, 잡지출이월 789125, 잡지출이자 1327)</t>
    <phoneticPr fontId="3" type="noConversion"/>
  </si>
  <si>
    <t>세출추경예산서</t>
    <phoneticPr fontId="3" type="noConversion"/>
  </si>
  <si>
    <t>직급</t>
    <phoneticPr fontId="3" type="noConversion"/>
  </si>
  <si>
    <t>기준금액</t>
    <phoneticPr fontId="3" type="noConversion"/>
  </si>
  <si>
    <t>지급요율(%)</t>
    <phoneticPr fontId="3" type="noConversion"/>
  </si>
  <si>
    <t>호봉기준</t>
    <phoneticPr fontId="3" type="noConversion"/>
  </si>
  <si>
    <t>복합기렌탈료</t>
    <phoneticPr fontId="3" type="noConversion"/>
  </si>
  <si>
    <t>음식물처리비</t>
    <phoneticPr fontId="3" type="noConversion"/>
  </si>
  <si>
    <t>소방시설 작동기능점검</t>
    <phoneticPr fontId="3" type="noConversion"/>
  </si>
  <si>
    <t>퇴직적립수수료(운영비)</t>
    <phoneticPr fontId="3" type="noConversion"/>
  </si>
  <si>
    <t>인터넷 및 전화요금</t>
    <phoneticPr fontId="3" type="noConversion"/>
  </si>
  <si>
    <t>식당가스요금</t>
    <phoneticPr fontId="3" type="noConversion"/>
  </si>
  <si>
    <t>생활관가스요금</t>
    <phoneticPr fontId="3" type="noConversion"/>
  </si>
  <si>
    <t>일반전기요금</t>
    <phoneticPr fontId="3" type="noConversion"/>
  </si>
  <si>
    <t>심야전기요금</t>
    <phoneticPr fontId="3" type="noConversion"/>
  </si>
  <si>
    <t>케이블TV</t>
    <phoneticPr fontId="3" type="noConversion"/>
  </si>
  <si>
    <t>상하수도요금</t>
    <phoneticPr fontId="3" type="noConversion"/>
  </si>
  <si>
    <t>2362차량장기보험</t>
    <phoneticPr fontId="3" type="noConversion"/>
  </si>
  <si>
    <t>2693차량장기보험</t>
    <phoneticPr fontId="3" type="noConversion"/>
  </si>
  <si>
    <t>자동차세</t>
    <phoneticPr fontId="3" type="noConversion"/>
  </si>
  <si>
    <t>2362 자동차세</t>
    <phoneticPr fontId="3" type="noConversion"/>
  </si>
  <si>
    <t>2693 자동차세</t>
    <phoneticPr fontId="3" type="noConversion"/>
  </si>
  <si>
    <t>영업배상책임보험</t>
    <phoneticPr fontId="3" type="noConversion"/>
  </si>
  <si>
    <t>가스사고배상책임보험</t>
    <phoneticPr fontId="3" type="noConversion"/>
  </si>
  <si>
    <t>자동차환경개선부담금</t>
    <phoneticPr fontId="3" type="noConversion"/>
  </si>
  <si>
    <t>서울노숙인시설협회정기회비</t>
    <phoneticPr fontId="3" type="noConversion"/>
  </si>
  <si>
    <t>의료비(운영비)</t>
    <phoneticPr fontId="3" type="noConversion"/>
  </si>
  <si>
    <t>사업비(계)</t>
    <phoneticPr fontId="3" type="noConversion"/>
  </si>
  <si>
    <t>입소인나들이</t>
    <phoneticPr fontId="3" type="noConversion"/>
  </si>
  <si>
    <t>입소인간담회및생일파티사업비</t>
    <phoneticPr fontId="3" type="noConversion"/>
  </si>
  <si>
    <t>보조금반환</t>
    <phoneticPr fontId="3" type="noConversion"/>
  </si>
  <si>
    <t>오수처리관리비</t>
    <phoneticPr fontId="3" type="noConversion"/>
  </si>
  <si>
    <t>승강기유지보수료</t>
    <phoneticPr fontId="3" type="noConversion"/>
  </si>
  <si>
    <t>4116 자동차세</t>
    <phoneticPr fontId="3" type="noConversion"/>
  </si>
  <si>
    <t>4116차량단기보험</t>
    <phoneticPr fontId="3" type="noConversion"/>
  </si>
  <si>
    <t>공동작업장 간식비
1,000원*20일*8명*3개월=480,000원, 1000원*20일 10명*9개월=1,800,000</t>
    <phoneticPr fontId="3" type="noConversion"/>
  </si>
  <si>
    <t>1차 추경예산</t>
    <phoneticPr fontId="3" type="noConversion"/>
  </si>
  <si>
    <t>영농사업수익</t>
    <phoneticPr fontId="3" type="noConversion"/>
  </si>
  <si>
    <t>사업수입 이월금</t>
    <phoneticPr fontId="3" type="noConversion"/>
  </si>
  <si>
    <t>증감</t>
    <phoneticPr fontId="3" type="noConversion"/>
  </si>
  <si>
    <t>2차 추경예산</t>
    <phoneticPr fontId="3" type="noConversion"/>
  </si>
  <si>
    <t>1차 추경예산</t>
    <phoneticPr fontId="3" type="noConversion"/>
  </si>
  <si>
    <t>건강보험
 장기요양보험</t>
    <phoneticPr fontId="3" type="noConversion"/>
  </si>
  <si>
    <t>*4.5%= 29,072,490</t>
    <phoneticPr fontId="3" type="noConversion"/>
  </si>
  <si>
    <t>*3.43%= 22,159,780
 *11.52%= 2,552,790</t>
    <phoneticPr fontId="3" type="noConversion"/>
  </si>
  <si>
    <t>*1.65%= 10,732,530</t>
    <phoneticPr fontId="3" type="noConversion"/>
  </si>
  <si>
    <t>*0.79%= 5,138,700</t>
    <phoneticPr fontId="3" type="noConversion"/>
  </si>
  <si>
    <t>김도진/시설장</t>
    <phoneticPr fontId="3" type="noConversion"/>
  </si>
  <si>
    <t>임선미/사무국장</t>
    <phoneticPr fontId="3" type="noConversion"/>
  </si>
  <si>
    <t>서성범/상담원</t>
    <phoneticPr fontId="3" type="noConversion"/>
  </si>
  <si>
    <t>김민서/상담원</t>
    <phoneticPr fontId="3" type="noConversion"/>
  </si>
  <si>
    <t>이정훈/상담원</t>
    <phoneticPr fontId="3" type="noConversion"/>
  </si>
  <si>
    <t>김기수(정규)/생활지도원</t>
    <phoneticPr fontId="3" type="noConversion"/>
  </si>
  <si>
    <t>이성준/생활지도원</t>
    <phoneticPr fontId="3" type="noConversion"/>
  </si>
  <si>
    <t>손영수/생활지도원</t>
    <phoneticPr fontId="3" type="noConversion"/>
  </si>
  <si>
    <t>정영호/생활지도원</t>
    <phoneticPr fontId="3" type="noConversion"/>
  </si>
  <si>
    <t>이세연/사무원</t>
    <phoneticPr fontId="3" type="noConversion"/>
  </si>
  <si>
    <t>김진영/시설관리</t>
    <phoneticPr fontId="3" type="noConversion"/>
  </si>
  <si>
    <t>김명선/영양사</t>
    <phoneticPr fontId="3" type="noConversion"/>
  </si>
  <si>
    <t>이승연/간호조무사</t>
    <phoneticPr fontId="3" type="noConversion"/>
  </si>
  <si>
    <t>정태임/조리원</t>
    <phoneticPr fontId="3" type="noConversion"/>
  </si>
  <si>
    <t>임은옥/조리원</t>
    <phoneticPr fontId="3" type="noConversion"/>
  </si>
  <si>
    <t>김기수(계약)/생활지도원</t>
    <phoneticPr fontId="3" type="noConversion"/>
  </si>
  <si>
    <t>승강기사고보험</t>
    <phoneticPr fontId="3" type="noConversion"/>
  </si>
  <si>
    <t>서울시 자활프로그램(영농, 양봉, 자격증, 키친)</t>
    <phoneticPr fontId="3" type="noConversion"/>
  </si>
  <si>
    <t>예비비 및 기타</t>
    <phoneticPr fontId="3" type="noConversion"/>
  </si>
  <si>
    <t>김성용특별자활환수금(610210)</t>
    <phoneticPr fontId="3" type="noConversion"/>
  </si>
  <si>
    <t>보조금전년도이월금(기존액5,273,475+20년48259959+20년도이자206,744)</t>
    <phoneticPr fontId="3" type="noConversion"/>
  </si>
  <si>
    <t>예비비및기타</t>
    <phoneticPr fontId="3" type="noConversion"/>
  </si>
  <si>
    <t>복지포인트(10호봉미만)</t>
  </si>
  <si>
    <t>보조금전년도이월금</t>
    <phoneticPr fontId="3" type="noConversion"/>
  </si>
  <si>
    <t>전기안전관리수수료</t>
    <phoneticPr fontId="3" type="noConversion"/>
  </si>
  <si>
    <t>승강기정기검사수수료</t>
    <phoneticPr fontId="3" type="noConversion"/>
  </si>
  <si>
    <t>세외수입지출분(2016,17 영농배당금)</t>
    <phoneticPr fontId="3" type="noConversion"/>
  </si>
  <si>
    <t xml:space="preserve"> </t>
    <phoneticPr fontId="3" type="noConversion"/>
  </si>
  <si>
    <t>보조금</t>
  </si>
  <si>
    <t>하수처리시설 청소비</t>
    <phoneticPr fontId="3" type="noConversion"/>
  </si>
  <si>
    <t>구세군</t>
    <phoneticPr fontId="3" type="noConversion"/>
  </si>
  <si>
    <t>개월</t>
    <phoneticPr fontId="3" type="noConversion"/>
  </si>
  <si>
    <t>정수기 렌탈료</t>
    <phoneticPr fontId="3" type="noConversion"/>
  </si>
  <si>
    <t>회</t>
    <phoneticPr fontId="3" type="noConversion"/>
  </si>
  <si>
    <t>연계약</t>
    <phoneticPr fontId="3" type="noConversion"/>
  </si>
  <si>
    <t>단체상해공제보험</t>
    <phoneticPr fontId="3" type="noConversion"/>
  </si>
  <si>
    <t>홈페이지 유지보수비</t>
    <phoneticPr fontId="3" type="noConversion"/>
  </si>
  <si>
    <t>구법인</t>
    <phoneticPr fontId="3" type="noConversion"/>
  </si>
  <si>
    <t>장기요양보험</t>
    <phoneticPr fontId="3" type="noConversion"/>
  </si>
  <si>
    <t>수질검사비</t>
    <phoneticPr fontId="3" type="noConversion"/>
  </si>
  <si>
    <t>소모품비 및 소규모 수선비</t>
    <phoneticPr fontId="3" type="noConversion"/>
  </si>
  <si>
    <t>CMS 수수료</t>
    <phoneticPr fontId="3" type="noConversion"/>
  </si>
  <si>
    <t>개월(분할)</t>
    <phoneticPr fontId="3" type="noConversion"/>
  </si>
  <si>
    <t>승강기 전용 전화요금</t>
    <phoneticPr fontId="3" type="noConversion"/>
  </si>
  <si>
    <t>연간</t>
    <phoneticPr fontId="3" type="noConversion"/>
  </si>
  <si>
    <t>4종 집단 급식소 면허세</t>
    <phoneticPr fontId="3" type="noConversion"/>
  </si>
  <si>
    <t>집기비품 화재보험</t>
    <phoneticPr fontId="3" type="noConversion"/>
  </si>
  <si>
    <t>주유비(5대)</t>
    <phoneticPr fontId="3" type="noConversion"/>
  </si>
  <si>
    <t>차량 유지비</t>
    <phoneticPr fontId="3" type="noConversion"/>
  </si>
  <si>
    <t>공동작업장 간식비 계</t>
    <phoneticPr fontId="3" type="noConversion"/>
  </si>
  <si>
    <t>직원역량강화사업비 계</t>
    <phoneticPr fontId="3" type="noConversion"/>
  </si>
  <si>
    <t>직원역량강화사업</t>
    <phoneticPr fontId="3" type="noConversion"/>
  </si>
  <si>
    <t>영농사업 계</t>
    <phoneticPr fontId="3" type="noConversion"/>
  </si>
  <si>
    <t>수익사업</t>
    <phoneticPr fontId="3" type="noConversion"/>
  </si>
  <si>
    <t>수용기관경비 계</t>
    <phoneticPr fontId="3" type="noConversion"/>
  </si>
  <si>
    <t>의료비 계</t>
    <phoneticPr fontId="3" type="noConversion"/>
  </si>
  <si>
    <t>여비</t>
    <phoneticPr fontId="3" type="noConversion"/>
  </si>
  <si>
    <t>기타운영비 계</t>
    <phoneticPr fontId="3" type="noConversion"/>
  </si>
  <si>
    <t>회의비 계</t>
    <phoneticPr fontId="3" type="noConversion"/>
  </si>
  <si>
    <t>/209*15시간*1.5</t>
    <phoneticPr fontId="3" type="noConversion"/>
  </si>
  <si>
    <t>배우자</t>
    <phoneticPr fontId="3" type="noConversion"/>
  </si>
  <si>
    <t>기타부양가족 2</t>
    <phoneticPr fontId="3" type="noConversion"/>
  </si>
  <si>
    <t>기타부양가족 1</t>
    <phoneticPr fontId="3" type="noConversion"/>
  </si>
  <si>
    <t>자녀 3</t>
    <phoneticPr fontId="3" type="noConversion"/>
  </si>
  <si>
    <t>*60%</t>
    <phoneticPr fontId="3" type="noConversion"/>
  </si>
  <si>
    <t>*120%</t>
  </si>
  <si>
    <t>*120%</t>
    <phoneticPr fontId="3" type="noConversion"/>
  </si>
  <si>
    <t>명</t>
    <phoneticPr fontId="3" type="noConversion"/>
  </si>
  <si>
    <t>지급개월</t>
    <phoneticPr fontId="3" type="noConversion"/>
  </si>
  <si>
    <t>지급인수</t>
    <phoneticPr fontId="3" type="noConversion"/>
  </si>
  <si>
    <t>기타부양가족 3</t>
    <phoneticPr fontId="3" type="noConversion"/>
  </si>
  <si>
    <t>산출 근거</t>
    <phoneticPr fontId="3" type="noConversion"/>
  </si>
  <si>
    <t>직원중식비 계</t>
    <phoneticPr fontId="3" type="noConversion"/>
  </si>
  <si>
    <t>공사업체식대</t>
    <phoneticPr fontId="3" type="noConversion"/>
  </si>
  <si>
    <t>보조금 반환 계</t>
    <phoneticPr fontId="3" type="noConversion"/>
  </si>
  <si>
    <t>예정분</t>
    <phoneticPr fontId="3" type="noConversion"/>
  </si>
  <si>
    <t xml:space="preserve">1분기 운영보조금 </t>
    <phoneticPr fontId="3" type="noConversion"/>
  </si>
  <si>
    <t>2분기 운영보조금</t>
    <phoneticPr fontId="3" type="noConversion"/>
  </si>
  <si>
    <t>3분기 운영보조금</t>
    <phoneticPr fontId="3" type="noConversion"/>
  </si>
  <si>
    <t>4분기 운영보조금</t>
    <phoneticPr fontId="3" type="noConversion"/>
  </si>
  <si>
    <t>1분기 급식비</t>
    <phoneticPr fontId="3" type="noConversion"/>
  </si>
  <si>
    <t>2분기 급식비</t>
  </si>
  <si>
    <t>3분기 급식비</t>
  </si>
  <si>
    <t>4분기 급식비</t>
  </si>
  <si>
    <t>분기</t>
    <phoneticPr fontId="3" type="noConversion"/>
  </si>
  <si>
    <t>4/4</t>
    <phoneticPr fontId="3" type="noConversion"/>
  </si>
  <si>
    <t>2/4</t>
    <phoneticPr fontId="3" type="noConversion"/>
  </si>
  <si>
    <t>1/4</t>
    <phoneticPr fontId="3" type="noConversion"/>
  </si>
  <si>
    <t>3/4</t>
    <phoneticPr fontId="3" type="noConversion"/>
  </si>
  <si>
    <t>1분기 중식비</t>
    <phoneticPr fontId="3" type="noConversion"/>
  </si>
  <si>
    <t>2분기 중식비</t>
  </si>
  <si>
    <t>3분기 중식비</t>
  </si>
  <si>
    <t>4분기 중식비</t>
    <phoneticPr fontId="3" type="noConversion"/>
  </si>
  <si>
    <t>서노협 명절지원비</t>
    <phoneticPr fontId="3" type="noConversion"/>
  </si>
  <si>
    <t xml:space="preserve">비지정후원금 </t>
    <phoneticPr fontId="3" type="noConversion"/>
  </si>
  <si>
    <t xml:space="preserve">CMS 계좌 </t>
    <phoneticPr fontId="3" type="noConversion"/>
  </si>
  <si>
    <t>세외수입 잔액</t>
    <phoneticPr fontId="3" type="noConversion"/>
  </si>
  <si>
    <t>영농수익금</t>
    <phoneticPr fontId="3" type="noConversion"/>
  </si>
  <si>
    <t>사업수입 계</t>
    <phoneticPr fontId="3" type="noConversion"/>
  </si>
  <si>
    <t>잡수입 계</t>
    <phoneticPr fontId="3" type="noConversion"/>
  </si>
  <si>
    <t>후원금 계</t>
    <phoneticPr fontId="3" type="noConversion"/>
  </si>
  <si>
    <t>기타운영비 일부 뽑아서 수용비로</t>
    <phoneticPr fontId="3" type="noConversion"/>
  </si>
  <si>
    <t>건강보험</t>
    <phoneticPr fontId="3" type="noConversion"/>
  </si>
  <si>
    <t>기타 세금 및 수수료 계</t>
    <phoneticPr fontId="3" type="noConversion"/>
  </si>
  <si>
    <t>상담원 (3급)</t>
  </si>
  <si>
    <t>상담원 (3급)</t>
    <phoneticPr fontId="3" type="noConversion"/>
  </si>
  <si>
    <t>사무국장 (3급)</t>
  </si>
  <si>
    <t>사무국장 (3급)</t>
    <phoneticPr fontId="3" type="noConversion"/>
  </si>
  <si>
    <t>시설장 (1급)</t>
  </si>
  <si>
    <t>시설장 (1급)</t>
    <phoneticPr fontId="3" type="noConversion"/>
  </si>
  <si>
    <t>생활지도원 (5급)</t>
  </si>
  <si>
    <t>생활지도원 (5급)</t>
    <phoneticPr fontId="3" type="noConversion"/>
  </si>
  <si>
    <t>시설관리 (6급)</t>
    <phoneticPr fontId="3" type="noConversion"/>
  </si>
  <si>
    <t>영양사 (5급)</t>
  </si>
  <si>
    <t>영양사 (5급)</t>
    <phoneticPr fontId="3" type="noConversion"/>
  </si>
  <si>
    <t>간호조무사 (6급)</t>
  </si>
  <si>
    <t>간호조무사 (6급)</t>
    <phoneticPr fontId="3" type="noConversion"/>
  </si>
  <si>
    <t>조리원 (7급)</t>
  </si>
  <si>
    <t>조리원 (7급)</t>
    <phoneticPr fontId="3" type="noConversion"/>
  </si>
  <si>
    <t>사무원 (6급)</t>
  </si>
  <si>
    <t>시설관리사 (6급)</t>
  </si>
  <si>
    <t>회의비 등</t>
    <phoneticPr fontId="3" type="noConversion"/>
  </si>
  <si>
    <t>순   위</t>
  </si>
  <si>
    <t>직  위</t>
  </si>
  <si>
    <t>성  명</t>
  </si>
  <si>
    <t>계</t>
  </si>
  <si>
    <t>기본급</t>
  </si>
  <si>
    <t>급식비</t>
  </si>
  <si>
    <t>가족수당</t>
  </si>
  <si>
    <t>연장근로수당</t>
  </si>
  <si>
    <t>명절휴가비</t>
  </si>
  <si>
    <t>관리자수당</t>
  </si>
  <si>
    <t>승급월</t>
  </si>
  <si>
    <t>복지포인트</t>
  </si>
  <si>
    <t>총계</t>
  </si>
  <si>
    <t>시설장</t>
  </si>
  <si>
    <t>11</t>
  </si>
  <si>
    <t>행정책임자</t>
  </si>
  <si>
    <t>손경훈</t>
  </si>
  <si>
    <t>4</t>
  </si>
  <si>
    <t>상담원</t>
  </si>
  <si>
    <t>7</t>
  </si>
  <si>
    <t>9</t>
  </si>
  <si>
    <t>12</t>
  </si>
  <si>
    <t>생활지도원</t>
  </si>
  <si>
    <t>1</t>
  </si>
  <si>
    <t>5</t>
  </si>
  <si>
    <t>시설관리</t>
  </si>
  <si>
    <t>영양사</t>
  </si>
  <si>
    <t>간호조무사</t>
  </si>
  <si>
    <t>6</t>
  </si>
  <si>
    <t>조리원</t>
  </si>
  <si>
    <t>전서윤</t>
  </si>
  <si>
    <t>길상철</t>
  </si>
  <si>
    <t>사무원</t>
  </si>
  <si>
    <t>한정우</t>
  </si>
  <si>
    <t>자녀 1</t>
    <phoneticPr fontId="3" type="noConversion"/>
  </si>
  <si>
    <t>회</t>
  </si>
  <si>
    <t>인문학 프로그램(기본, 축구, 자격증)</t>
    <phoneticPr fontId="3" type="noConversion"/>
  </si>
  <si>
    <t>서노협 냉난방비</t>
    <phoneticPr fontId="3" type="noConversion"/>
  </si>
  <si>
    <t>보조금 이월금 계</t>
    <phoneticPr fontId="3" type="noConversion"/>
  </si>
  <si>
    <t>법인전입금 계</t>
    <phoneticPr fontId="3" type="noConversion"/>
  </si>
  <si>
    <t>반납완료</t>
    <phoneticPr fontId="3" type="noConversion"/>
  </si>
  <si>
    <t>입소인생필품지원사업 계</t>
    <phoneticPr fontId="3" type="noConversion"/>
  </si>
  <si>
    <t>주민등록복원사업</t>
    <phoneticPr fontId="3" type="noConversion"/>
  </si>
  <si>
    <t>임대주택 입주자 축하 집들이 선물(생필품)
 100,000원×3명</t>
    <phoneticPr fontId="3" type="noConversion"/>
  </si>
  <si>
    <t>명절사업비 계</t>
    <phoneticPr fontId="3" type="noConversion"/>
  </si>
  <si>
    <t>양평쉼터 감사의 밤</t>
    <phoneticPr fontId="3" type="noConversion"/>
  </si>
  <si>
    <t>당직수당</t>
    <phoneticPr fontId="3" type="noConversion"/>
  </si>
  <si>
    <t>일</t>
    <phoneticPr fontId="3" type="noConversion"/>
  </si>
  <si>
    <t>세입부</t>
    <phoneticPr fontId="3" type="noConversion"/>
  </si>
  <si>
    <t>세출부</t>
    <phoneticPr fontId="3" type="noConversion"/>
  </si>
  <si>
    <t>소방시설 종합정밀점검</t>
    <phoneticPr fontId="3" type="noConversion"/>
  </si>
  <si>
    <t>기타 차량유지비</t>
    <phoneticPr fontId="3" type="noConversion"/>
  </si>
  <si>
    <t>시설장비유지비</t>
    <phoneticPr fontId="3" type="noConversion"/>
  </si>
  <si>
    <t>영농자활사업 수익금</t>
    <phoneticPr fontId="3" type="noConversion"/>
  </si>
  <si>
    <t>잡수입이자</t>
    <phoneticPr fontId="3" type="noConversion"/>
  </si>
  <si>
    <t>취업지원사업 계</t>
    <phoneticPr fontId="3" type="noConversion"/>
  </si>
  <si>
    <t>특별자활사업비</t>
    <phoneticPr fontId="3" type="noConversion"/>
  </si>
  <si>
    <t>일자리갖기사업비</t>
    <phoneticPr fontId="3" type="noConversion"/>
  </si>
  <si>
    <t>문화체험프로그램</t>
    <phoneticPr fontId="3" type="noConversion"/>
  </si>
  <si>
    <t>문화체험 진행비</t>
    <phoneticPr fontId="3" type="noConversion"/>
  </si>
  <si>
    <t>차량 주유비 50,000×2대×4회
체험비 20,000×10명×4회
간식비 4,000×10명×4회</t>
    <phoneticPr fontId="3" type="noConversion"/>
  </si>
  <si>
    <t>강사비, 사례교육, 문화유적지 탐방, 워크숍</t>
    <phoneticPr fontId="3" type="noConversion"/>
  </si>
  <si>
    <t>인문학자격증취득지원</t>
    <phoneticPr fontId="3" type="noConversion"/>
  </si>
  <si>
    <t>인문학 자격증 진행비</t>
    <phoneticPr fontId="3" type="noConversion"/>
  </si>
  <si>
    <t>중장비, 제과제빵, 운전면서, 교재비</t>
    <phoneticPr fontId="3" type="noConversion"/>
  </si>
  <si>
    <t>인문학축구(꺽이지 않는 마음)</t>
    <phoneticPr fontId="3" type="noConversion"/>
  </si>
  <si>
    <t>방역사업비</t>
    <phoneticPr fontId="3" type="noConversion"/>
  </si>
  <si>
    <t>개월</t>
  </si>
  <si>
    <t xml:space="preserve">기타부양가족 </t>
    <phoneticPr fontId="3" type="noConversion"/>
  </si>
  <si>
    <t>간식비</t>
    <phoneticPr fontId="3" type="noConversion"/>
  </si>
  <si>
    <t>우수참여자 지원비</t>
    <phoneticPr fontId="3" type="noConversion"/>
  </si>
  <si>
    <t>승강기수선유지비</t>
    <phoneticPr fontId="3" type="noConversion"/>
  </si>
  <si>
    <t xml:space="preserve">23년 호우피해응급복구비 반납 </t>
    <phoneticPr fontId="3" type="noConversion"/>
  </si>
  <si>
    <t>희망의 인문학</t>
    <phoneticPr fontId="3" type="noConversion"/>
  </si>
  <si>
    <t>기초체력향상, 사회성 회복</t>
    <phoneticPr fontId="3" type="noConversion"/>
  </si>
  <si>
    <t>공동작업장 우수참여자 지원비</t>
    <phoneticPr fontId="3" type="noConversion"/>
  </si>
  <si>
    <t>김태민</t>
    <phoneticPr fontId="3" type="noConversion"/>
  </si>
  <si>
    <t>국민연금(4.50%), 건강보험(3.545%),산재보험(0.72%), 
고용보험(1.75%), 퇴직적립금(8.33%), 장기요양보험(건강보험료*12.81%)</t>
    <phoneticPr fontId="3" type="noConversion"/>
  </si>
  <si>
    <t>11</t>
    <phoneticPr fontId="3" type="noConversion"/>
  </si>
  <si>
    <t>5</t>
    <phoneticPr fontId="3" type="noConversion"/>
  </si>
  <si>
    <t>당직수당 퇴직적립금</t>
  </si>
  <si>
    <t>연간</t>
  </si>
  <si>
    <t>명절프로그램 사업비</t>
    <phoneticPr fontId="3" type="noConversion"/>
  </si>
  <si>
    <t>식자재 평가위원회</t>
    <phoneticPr fontId="3" type="noConversion"/>
  </si>
  <si>
    <t>구세군 법인전입금</t>
    <phoneticPr fontId="3" type="noConversion"/>
  </si>
  <si>
    <t>구세군 법인전입급 후원금</t>
    <phoneticPr fontId="3" type="noConversion"/>
  </si>
  <si>
    <t>9</t>
    <phoneticPr fontId="3" type="noConversion"/>
  </si>
  <si>
    <t>중식비</t>
    <phoneticPr fontId="3" type="noConversion"/>
  </si>
  <si>
    <t>2025년도 1차 세입 추경예산서</t>
    <phoneticPr fontId="3" type="noConversion"/>
  </si>
  <si>
    <t>2025년도 1차 세출 추경예산서</t>
    <phoneticPr fontId="3" type="noConversion"/>
  </si>
  <si>
    <t>1.  2025년도 서울특별시립 양평쉼터 직원 임금 현황.</t>
    <phoneticPr fontId="3" type="noConversion"/>
  </si>
  <si>
    <t>2.  2025년도 노숙인 시설 종사자 급여 지원기준으로 산정하여 적용함(승급 호봉 적용)</t>
    <phoneticPr fontId="3" type="noConversion"/>
  </si>
  <si>
    <t>2025.05.20.기준</t>
    <phoneticPr fontId="3" type="noConversion"/>
  </si>
  <si>
    <t xml:space="preserve">특별자활 </t>
    <phoneticPr fontId="3" type="noConversion"/>
  </si>
  <si>
    <t>이다영 퇴직연금 반환금</t>
    <phoneticPr fontId="3" type="noConversion"/>
  </si>
  <si>
    <t>2024년 이월금</t>
  </si>
  <si>
    <t>2024년 이월금</t>
    <phoneticPr fontId="3" type="noConversion"/>
  </si>
  <si>
    <t>2023년 이월금 19,898,615원 및 2024년 이월금</t>
    <phoneticPr fontId="3" type="noConversion"/>
  </si>
  <si>
    <t>본관 옥상 방수 공사</t>
  </si>
  <si>
    <t>생활관, 본관 블라인드 설치 및 교체</t>
  </si>
  <si>
    <t>희망관 심야보일러 교체</t>
  </si>
  <si>
    <t>1인 * 1,500 * 20일</t>
    <phoneticPr fontId="3" type="noConversion"/>
  </si>
  <si>
    <t>식대 4,500원</t>
    <phoneticPr fontId="3" type="noConversion"/>
  </si>
  <si>
    <t>~80명 현원기준 인당 72,800원</t>
    <phoneticPr fontId="3" type="noConversion"/>
  </si>
  <si>
    <t>KBS TV 수신료 반환금</t>
  </si>
  <si>
    <t>KBS TV 수신료 반환금</t>
    <phoneticPr fontId="3" type="noConversion"/>
  </si>
  <si>
    <t>2025년 1차 추경 예산서</t>
    <phoneticPr fontId="3" type="noConversion"/>
  </si>
  <si>
    <t>2025년 양평쉼터 예산안 요약표</t>
    <phoneticPr fontId="3" type="noConversion"/>
  </si>
  <si>
    <t>본관 옥상 방수공사</t>
  </si>
  <si>
    <t>반일제 224,389,390원
임금 180,540,000원
50,150원×[144회+24주휴+12월차]×20명
식대 23,040,000
8000원×144회×20명
사회보험료 20,809,390원
 건강보험 3.545%장기요양 0.4591%
 국민연금 4.5% 
 고용보험 (실업급여0.9%, 고안직능 0.9%)
 산재보험 0.763%</t>
  </si>
  <si>
    <t>전일제 529,061,290원
임금 443,326,000원
80,240원×[261일+52주휴+12월차]×17명
식대 33,320,000원
8,000원×246일×17명
사회보험료 52,415,290원
 건강보험 3.545% 장기요양 0.4591%
 국민연금 4.5% 
 고용보험 (실업급여0.9%, 고안직능 0.9%)
 산재보험 1.06%</t>
  </si>
  <si>
    <t>작은화면큰세계</t>
    <phoneticPr fontId="3" type="noConversion"/>
  </si>
  <si>
    <t>인문학 양평FC</t>
    <phoneticPr fontId="3" type="noConversion"/>
  </si>
  <si>
    <t>중독예방교육</t>
    <phoneticPr fontId="3" type="noConversion"/>
  </si>
  <si>
    <t>자원봉사 운영사업</t>
    <phoneticPr fontId="3" type="noConversion"/>
  </si>
  <si>
    <t>중독예방교육
 - 간식비 1인 4,000 X 20명 X 1회 = 80,000
우울증 및 자살예방교육
 - 간식비 1인 4,000 X 20명 X 1회 = 80,000
금연이동 클리닉
 - 간식비 1인 4,000 X 10명 X 1회 = 40,000</t>
  </si>
  <si>
    <t>차량 주유비 및 봉사자 간식비</t>
  </si>
  <si>
    <t>비지정후원금</t>
  </si>
  <si>
    <t>주민등록 복원 20,000원×9명
 예비비 20,000원</t>
    <phoneticPr fontId="3" type="noConversion"/>
  </si>
  <si>
    <t>입소인 선물(추석) 50,000원×80명×1회
공동 차례상(추석) 600,000원×1회 
프로그램 선물 25,000원×6명×2회</t>
    <phoneticPr fontId="3" type="noConversion"/>
  </si>
  <si>
    <t>공동 차례상 및 특식</t>
  </si>
  <si>
    <t>입소인 선물 및 생활용품 구매</t>
  </si>
  <si>
    <t>생활용품(선물)
20,000원×80명×2회</t>
  </si>
  <si>
    <t>입소인 선물 및 프로그램 진행비</t>
  </si>
  <si>
    <t>지정후원금</t>
  </si>
  <si>
    <t>24년 일자리사업 운영지원금 반납</t>
    <phoneticPr fontId="3" type="noConversion"/>
  </si>
  <si>
    <t>23년도 자동차세 환급금 반납</t>
    <phoneticPr fontId="3" type="noConversion"/>
  </si>
  <si>
    <t>23년도 기능보강비 반납</t>
    <phoneticPr fontId="3" type="noConversion"/>
  </si>
  <si>
    <t>23년 운영보조금 반납</t>
    <phoneticPr fontId="3" type="noConversion"/>
  </si>
  <si>
    <t>24년 운영보조금 반납</t>
    <phoneticPr fontId="3" type="noConversion"/>
  </si>
  <si>
    <t>24년 기능보강비 이자 반납</t>
    <phoneticPr fontId="3" type="noConversion"/>
  </si>
  <si>
    <t>주민세 19~24년 반환금 반납</t>
    <phoneticPr fontId="3" type="noConversion"/>
  </si>
  <si>
    <t>24년 프로그램비 집행잔액 반납</t>
    <phoneticPr fontId="3" type="noConversion"/>
  </si>
  <si>
    <t>24년 특별지원 난방비 반납</t>
    <phoneticPr fontId="3" type="noConversion"/>
  </si>
  <si>
    <t>미용지원사업</t>
    <phoneticPr fontId="3" type="noConversion"/>
  </si>
  <si>
    <t>미용기계구매 250,000×2
미용가위구매 100,000×2
부자재 구매     50,000×2</t>
    <phoneticPr fontId="3" type="noConversion"/>
  </si>
  <si>
    <t>신규입소인 생필품</t>
  </si>
  <si>
    <t>신규입소인 생필품 10,000원×80명</t>
  </si>
  <si>
    <t>생활용품</t>
  </si>
  <si>
    <t>생활용품 10,000원×80명×반기별</t>
  </si>
  <si>
    <t>생필품</t>
  </si>
  <si>
    <t>생필품 10,000원×80명×분기별</t>
  </si>
  <si>
    <t>25년 신원보증보험</t>
    <phoneticPr fontId="3" type="noConversion"/>
  </si>
  <si>
    <t>2024년 소식지, 2025년 사업계획서</t>
    <phoneticPr fontId="3" type="noConversion"/>
  </si>
  <si>
    <t>엔페스 방역대금</t>
    <phoneticPr fontId="3" type="noConversion"/>
  </si>
  <si>
    <t xml:space="preserve">고압전기설비 정기검사 </t>
    <phoneticPr fontId="3" type="noConversion"/>
  </si>
  <si>
    <t>[1월 요금 220,000 이후 250,000 재계약]</t>
    <phoneticPr fontId="3" type="noConversion"/>
  </si>
  <si>
    <t>24년도 난방비 이월분</t>
  </si>
  <si>
    <t>24년도 난방비 이월분</t>
    <phoneticPr fontId="3" type="noConversion"/>
  </si>
  <si>
    <t>정기검진비</t>
    <phoneticPr fontId="3" type="noConversion"/>
  </si>
  <si>
    <t>25년 난방비 지원</t>
    <phoneticPr fontId="3" type="noConversion"/>
  </si>
  <si>
    <t>25년 냉난방비지원</t>
    <phoneticPr fontId="3" type="noConversion"/>
  </si>
  <si>
    <t>스타리아 차량구매</t>
    <phoneticPr fontId="3" type="noConversion"/>
  </si>
  <si>
    <t>축구프로그램 친선경기 간식 등 
15,000원 × 20명 × 2회</t>
    <phoneticPr fontId="3" type="noConversion"/>
  </si>
  <si>
    <t>주유비, 식사비, 입장료 등(15명)
400,000원 × 2회</t>
    <phoneticPr fontId="3" type="noConversion"/>
  </si>
  <si>
    <t>추가 공동 차례상</t>
    <phoneticPr fontId="3" type="noConversion"/>
  </si>
  <si>
    <t>감사패 50,000원×1명
상품 15,000원×10명
상차림비 25,000원×80명
입소인 선물 10,000원×80명</t>
    <phoneticPr fontId="3" type="noConversion"/>
  </si>
  <si>
    <t>25년 식대 4,000원-&gt;4,500원</t>
    <phoneticPr fontId="3" type="noConversion"/>
  </si>
  <si>
    <t>사업 조정으로 제외됨</t>
    <phoneticPr fontId="3" type="noConversion"/>
  </si>
  <si>
    <t>대일밴드 외 9종 = 100,000원  
소화제 외 8종   = 150,000원
 혈당스트립 외 5종 = 100,000원
 종합감기약 외 4종 = 150,000원</t>
    <phoneticPr fontId="3" type="noConversion"/>
  </si>
  <si>
    <t>간식비 1,500원 × 20일 × 9명</t>
    <phoneticPr fontId="3" type="noConversion"/>
  </si>
  <si>
    <t>월 30,000원</t>
    <phoneticPr fontId="3" type="noConversion"/>
  </si>
  <si>
    <t>교육비 70,000×15명
워크숍 70,000×15명
교육비  60,000×15명</t>
    <phoneticPr fontId="3" type="noConversion"/>
  </si>
  <si>
    <t>직원 복리비(명절선물, 휴가비) 250,000원×15명
직원 피복비(하계, 동계 피복비) 120,000원×15명
직원회의비 450,000원×6회
직원경조사비 750,000원</t>
    <phoneticPr fontId="3" type="noConversion"/>
  </si>
  <si>
    <t>45인승 버스 대여료 850,000원×1회
여행자보험 5,000원×50명
간식비 3,000원×50명
중식비 25,000원×50명
체험료 및 입장료 30,000원×50명
석식비 15,000원×50명
기관 차량 주유비 50,000원×1회
통행료, 플래카드 등 예비비 200,000원</t>
    <phoneticPr fontId="3" type="noConversion"/>
  </si>
  <si>
    <t>농기계 운전 교육 및 간담회 460,000원
작물 재배 6,820,000원
농기계 유지보수 4,600,000원
유류비 2,500,000원
종결평가회 306,030원
경운기구매 13,220,000원
기타 농자재 12,000,000원
온실 보수 8,000,000원
농지 임대 4,600,000원</t>
    <phoneticPr fontId="3" type="noConversion"/>
  </si>
  <si>
    <t>생일케이크 480,000원
(40,000원×12회)
프로그램 간식비 1,200,000원
(100,000×12회)
생일선물 1,200,000원
(15,000원×80명)
예비비 340,000</t>
    <phoneticPr fontId="3" type="noConversion"/>
  </si>
  <si>
    <t>소식지(홈페이지 등) 발송 100,000원 × 1회
 감사편지 발송 100,000원× 1회</t>
    <phoneticPr fontId="3" type="noConversion"/>
  </si>
  <si>
    <t xml:space="preserve">공동 차례상(설) 820,000원×1회
공동 차례상(추석) 800,000원×1회 </t>
    <phoneticPr fontId="3" type="noConversion"/>
  </si>
  <si>
    <t>2025년 양평쉼터1차추경 세입세출총괄표</t>
    <phoneticPr fontId="3" type="noConversion"/>
  </si>
  <si>
    <t>2025년 양평쉼터 세입세출총괄표</t>
    <phoneticPr fontId="3" type="noConversion"/>
  </si>
  <si>
    <t>~82명 현원기준 인당 69,450원</t>
    <phoneticPr fontId="3" type="noConversion"/>
  </si>
  <si>
    <t>~83명 현원기준 인당 72,800원</t>
    <phoneticPr fontId="3" type="noConversion"/>
  </si>
  <si>
    <t>냉방비 1,440,000
난방비 6,000,000</t>
    <phoneticPr fontId="3" type="noConversion"/>
  </si>
  <si>
    <t>24년 코로나방역사업비 이월금</t>
  </si>
  <si>
    <t>예정분</t>
  </si>
  <si>
    <t>잡지출</t>
  </si>
  <si>
    <t>25년 이다영 퇴직연금 반환금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</si>
</sst>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_);[Red]\(#,##0\)"/>
    <numFmt numFmtId="178" formatCode="0.000%"/>
  </numFmts>
  <fonts count="5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4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30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indexed="81"/>
      <name val="Tahoma"/>
      <family val="2"/>
    </font>
    <font>
      <b/>
      <sz val="9"/>
      <name val="돋움"/>
      <family val="3"/>
      <charset val="129"/>
    </font>
    <font>
      <b/>
      <sz val="9"/>
      <color indexed="81"/>
      <name val="Tahoma"/>
      <family val="2"/>
    </font>
    <font>
      <b/>
      <sz val="20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36"/>
      <color rgb="FF000000"/>
      <name val="맑은 고딕"/>
      <family val="3"/>
      <charset val="129"/>
    </font>
    <font>
      <sz val="12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20"/>
      <name val="돋움"/>
      <family val="3"/>
      <charset val="129"/>
    </font>
    <font>
      <b/>
      <sz val="13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b/>
      <sz val="10"/>
      <color rgb="FF2B61A8"/>
      <name val="Noto Sans KR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36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41" fontId="6" fillId="2" borderId="8" xfId="1" applyFont="1" applyFill="1" applyBorder="1" applyAlignment="1">
      <alignment vertical="center" shrinkToFit="1"/>
    </xf>
    <xf numFmtId="41" fontId="6" fillId="2" borderId="9" xfId="1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41" fontId="10" fillId="0" borderId="8" xfId="1" applyFont="1" applyBorder="1" applyAlignment="1">
      <alignment horizontal="center" vertical="center" wrapText="1"/>
    </xf>
    <xf numFmtId="41" fontId="9" fillId="0" borderId="8" xfId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1" fontId="9" fillId="0" borderId="9" xfId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41" fontId="9" fillId="0" borderId="8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0" borderId="17" xfId="0" applyFont="1" applyBorder="1" applyAlignment="1">
      <alignment horizontal="left"/>
    </xf>
    <xf numFmtId="0" fontId="0" fillId="0" borderId="17" xfId="0" applyBorder="1"/>
    <xf numFmtId="0" fontId="14" fillId="0" borderId="0" xfId="2">
      <alignment vertical="center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4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4" fillId="0" borderId="17" xfId="2" applyBorder="1">
      <alignment vertical="center"/>
    </xf>
    <xf numFmtId="176" fontId="7" fillId="3" borderId="50" xfId="0" applyNumberFormat="1" applyFont="1" applyFill="1" applyBorder="1" applyAlignment="1">
      <alignment vertical="center"/>
    </xf>
    <xf numFmtId="176" fontId="7" fillId="3" borderId="2" xfId="0" applyNumberFormat="1" applyFont="1" applyFill="1" applyBorder="1" applyAlignment="1">
      <alignment horizontal="right" vertical="center"/>
    </xf>
    <xf numFmtId="176" fontId="7" fillId="3" borderId="51" xfId="0" applyNumberFormat="1" applyFont="1" applyFill="1" applyBorder="1" applyAlignment="1">
      <alignment horizontal="right" vertical="center"/>
    </xf>
    <xf numFmtId="176" fontId="23" fillId="3" borderId="32" xfId="0" applyNumberFormat="1" applyFont="1" applyFill="1" applyBorder="1" applyAlignment="1">
      <alignment horizontal="right" vertical="center"/>
    </xf>
    <xf numFmtId="41" fontId="0" fillId="0" borderId="0" xfId="0" applyNumberFormat="1"/>
    <xf numFmtId="176" fontId="7" fillId="3" borderId="51" xfId="0" applyNumberFormat="1" applyFont="1" applyFill="1" applyBorder="1" applyAlignment="1">
      <alignment vertical="center"/>
    </xf>
    <xf numFmtId="176" fontId="7" fillId="3" borderId="52" xfId="0" applyNumberFormat="1" applyFont="1" applyFill="1" applyBorder="1" applyAlignment="1">
      <alignment vertical="center"/>
    </xf>
    <xf numFmtId="177" fontId="7" fillId="3" borderId="53" xfId="0" applyNumberFormat="1" applyFont="1" applyFill="1" applyBorder="1" applyAlignment="1">
      <alignment vertical="center"/>
    </xf>
    <xf numFmtId="0" fontId="23" fillId="3" borderId="73" xfId="0" applyFont="1" applyFill="1" applyBorder="1" applyAlignment="1">
      <alignment horizontal="center" vertical="center"/>
    </xf>
    <xf numFmtId="176" fontId="23" fillId="3" borderId="32" xfId="0" applyNumberFormat="1" applyFont="1" applyFill="1" applyBorder="1" applyAlignment="1">
      <alignment vertical="center"/>
    </xf>
    <xf numFmtId="176" fontId="23" fillId="3" borderId="0" xfId="0" applyNumberFormat="1" applyFont="1" applyFill="1" applyAlignment="1">
      <alignment vertical="center"/>
    </xf>
    <xf numFmtId="176" fontId="23" fillId="3" borderId="37" xfId="0" applyNumberFormat="1" applyFont="1" applyFill="1" applyBorder="1" applyAlignment="1">
      <alignment vertical="center"/>
    </xf>
    <xf numFmtId="176" fontId="23" fillId="3" borderId="51" xfId="0" applyNumberFormat="1" applyFont="1" applyFill="1" applyBorder="1" applyAlignment="1">
      <alignment vertical="center"/>
    </xf>
    <xf numFmtId="176" fontId="23" fillId="3" borderId="52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/>
    </xf>
    <xf numFmtId="176" fontId="23" fillId="3" borderId="1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vertical="center"/>
    </xf>
    <xf numFmtId="176" fontId="7" fillId="3" borderId="17" xfId="0" applyNumberFormat="1" applyFont="1" applyFill="1" applyBorder="1" applyAlignment="1">
      <alignment vertical="center"/>
    </xf>
    <xf numFmtId="0" fontId="0" fillId="3" borderId="0" xfId="0" applyFill="1"/>
    <xf numFmtId="0" fontId="23" fillId="3" borderId="19" xfId="0" applyFont="1" applyFill="1" applyBorder="1" applyAlignment="1">
      <alignment horizontal="center" vertical="center"/>
    </xf>
    <xf numFmtId="176" fontId="7" fillId="3" borderId="25" xfId="0" applyNumberFormat="1" applyFont="1" applyFill="1" applyBorder="1"/>
    <xf numFmtId="176" fontId="7" fillId="3" borderId="17" xfId="0" applyNumberFormat="1" applyFont="1" applyFill="1" applyBorder="1"/>
    <xf numFmtId="176" fontId="7" fillId="3" borderId="31" xfId="0" applyNumberFormat="1" applyFont="1" applyFill="1" applyBorder="1"/>
    <xf numFmtId="0" fontId="23" fillId="3" borderId="70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176" fontId="7" fillId="3" borderId="38" xfId="0" applyNumberFormat="1" applyFont="1" applyFill="1" applyBorder="1" applyAlignment="1">
      <alignment vertical="center" wrapText="1"/>
    </xf>
    <xf numFmtId="0" fontId="7" fillId="3" borderId="39" xfId="3" applyNumberFormat="1" applyFont="1" applyFill="1" applyBorder="1" applyAlignment="1">
      <alignment horizontal="center" vertical="center" wrapText="1"/>
    </xf>
    <xf numFmtId="0" fontId="7" fillId="3" borderId="40" xfId="3" applyNumberFormat="1" applyFont="1" applyFill="1" applyBorder="1" applyAlignment="1">
      <alignment horizontal="left" vertical="center" wrapText="1"/>
    </xf>
    <xf numFmtId="176" fontId="7" fillId="3" borderId="41" xfId="0" applyNumberFormat="1" applyFont="1" applyFill="1" applyBorder="1" applyAlignment="1">
      <alignment vertical="center"/>
    </xf>
    <xf numFmtId="176" fontId="7" fillId="3" borderId="42" xfId="0" applyNumberFormat="1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vertical="center" wrapText="1"/>
    </xf>
    <xf numFmtId="41" fontId="7" fillId="3" borderId="45" xfId="3" applyFont="1" applyFill="1" applyBorder="1" applyAlignment="1">
      <alignment horizontal="center" vertical="center" wrapText="1"/>
    </xf>
    <xf numFmtId="0" fontId="7" fillId="3" borderId="46" xfId="3" applyNumberFormat="1" applyFont="1" applyFill="1" applyBorder="1" applyAlignment="1">
      <alignment vertical="center" wrapText="1"/>
    </xf>
    <xf numFmtId="176" fontId="7" fillId="3" borderId="47" xfId="0" applyNumberFormat="1" applyFont="1" applyFill="1" applyBorder="1" applyAlignment="1">
      <alignment vertical="center"/>
    </xf>
    <xf numFmtId="176" fontId="7" fillId="3" borderId="48" xfId="0" applyNumberFormat="1" applyFont="1" applyFill="1" applyBorder="1" applyAlignment="1">
      <alignment vertical="center"/>
    </xf>
    <xf numFmtId="0" fontId="7" fillId="3" borderId="45" xfId="0" applyFont="1" applyFill="1" applyBorder="1" applyAlignment="1">
      <alignment horizontal="center" vertical="center" wrapText="1"/>
    </xf>
    <xf numFmtId="176" fontId="0" fillId="3" borderId="0" xfId="0" applyNumberFormat="1" applyFill="1"/>
    <xf numFmtId="41" fontId="0" fillId="3" borderId="0" xfId="3" applyFont="1" applyFill="1"/>
    <xf numFmtId="41" fontId="0" fillId="3" borderId="0" xfId="0" applyNumberFormat="1" applyFill="1"/>
    <xf numFmtId="3" fontId="7" fillId="3" borderId="45" xfId="0" applyNumberFormat="1" applyFont="1" applyFill="1" applyBorder="1" applyAlignment="1">
      <alignment horizontal="center" vertical="center" wrapText="1"/>
    </xf>
    <xf numFmtId="176" fontId="7" fillId="3" borderId="44" xfId="0" applyNumberFormat="1" applyFont="1" applyFill="1" applyBorder="1" applyAlignment="1">
      <alignment vertical="center"/>
    </xf>
    <xf numFmtId="176" fontId="7" fillId="3" borderId="28" xfId="0" applyNumberFormat="1" applyFont="1" applyFill="1" applyBorder="1" applyAlignment="1">
      <alignment vertical="center"/>
    </xf>
    <xf numFmtId="176" fontId="7" fillId="3" borderId="99" xfId="0" applyNumberFormat="1" applyFont="1" applyFill="1" applyBorder="1" applyAlignment="1">
      <alignment vertical="center" wrapText="1"/>
    </xf>
    <xf numFmtId="0" fontId="7" fillId="3" borderId="100" xfId="3" applyNumberFormat="1" applyFont="1" applyFill="1" applyBorder="1" applyAlignment="1">
      <alignment vertical="center" wrapText="1"/>
    </xf>
    <xf numFmtId="176" fontId="7" fillId="3" borderId="27" xfId="0" applyNumberFormat="1" applyFont="1" applyFill="1" applyBorder="1" applyAlignment="1">
      <alignment vertical="center"/>
    </xf>
    <xf numFmtId="176" fontId="23" fillId="3" borderId="25" xfId="0" applyNumberFormat="1" applyFont="1" applyFill="1" applyBorder="1" applyAlignment="1">
      <alignment vertical="center" wrapText="1"/>
    </xf>
    <xf numFmtId="176" fontId="7" fillId="3" borderId="40" xfId="0" applyNumberFormat="1" applyFont="1" applyFill="1" applyBorder="1" applyAlignment="1">
      <alignment vertical="center" wrapText="1"/>
    </xf>
    <xf numFmtId="176" fontId="7" fillId="3" borderId="46" xfId="0" applyNumberFormat="1" applyFont="1" applyFill="1" applyBorder="1" applyAlignment="1">
      <alignment vertical="center" wrapText="1"/>
    </xf>
    <xf numFmtId="3" fontId="7" fillId="3" borderId="39" xfId="3" applyNumberFormat="1" applyFont="1" applyFill="1" applyBorder="1" applyAlignment="1">
      <alignment horizontal="center" vertical="center" wrapText="1"/>
    </xf>
    <xf numFmtId="3" fontId="7" fillId="3" borderId="39" xfId="0" applyNumberFormat="1" applyFont="1" applyFill="1" applyBorder="1" applyAlignment="1">
      <alignment horizontal="center" vertical="center" wrapText="1"/>
    </xf>
    <xf numFmtId="176" fontId="23" fillId="3" borderId="33" xfId="0" applyNumberFormat="1" applyFont="1" applyFill="1" applyBorder="1" applyAlignment="1">
      <alignment vertical="center"/>
    </xf>
    <xf numFmtId="177" fontId="23" fillId="3" borderId="34" xfId="0" applyNumberFormat="1" applyFont="1" applyFill="1" applyBorder="1" applyAlignment="1">
      <alignment vertical="center"/>
    </xf>
    <xf numFmtId="0" fontId="24" fillId="3" borderId="52" xfId="0" applyFont="1" applyFill="1" applyBorder="1" applyAlignment="1">
      <alignment horizontal="left" vertical="center"/>
    </xf>
    <xf numFmtId="0" fontId="24" fillId="3" borderId="56" xfId="0" applyFont="1" applyFill="1" applyBorder="1" applyAlignment="1">
      <alignment horizontal="left" vertical="center"/>
    </xf>
    <xf numFmtId="176" fontId="7" fillId="3" borderId="57" xfId="0" applyNumberFormat="1" applyFont="1" applyFill="1" applyBorder="1" applyAlignment="1">
      <alignment vertical="center"/>
    </xf>
    <xf numFmtId="176" fontId="7" fillId="3" borderId="32" xfId="0" applyNumberFormat="1" applyFont="1" applyFill="1" applyBorder="1" applyAlignment="1">
      <alignment vertical="center"/>
    </xf>
    <xf numFmtId="176" fontId="7" fillId="3" borderId="33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176" fontId="7" fillId="3" borderId="31" xfId="0" applyNumberFormat="1" applyFont="1" applyFill="1" applyBorder="1" applyAlignment="1">
      <alignment vertical="center"/>
    </xf>
    <xf numFmtId="176" fontId="7" fillId="3" borderId="20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  <xf numFmtId="176" fontId="7" fillId="3" borderId="12" xfId="0" applyNumberFormat="1" applyFont="1" applyFill="1" applyBorder="1" applyAlignment="1">
      <alignment vertical="center"/>
    </xf>
    <xf numFmtId="177" fontId="7" fillId="3" borderId="24" xfId="0" applyNumberFormat="1" applyFont="1" applyFill="1" applyBorder="1" applyAlignment="1">
      <alignment vertical="center"/>
    </xf>
    <xf numFmtId="176" fontId="7" fillId="3" borderId="26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horizontal="center" vertical="center"/>
    </xf>
    <xf numFmtId="176" fontId="21" fillId="3" borderId="32" xfId="0" applyNumberFormat="1" applyFont="1" applyFill="1" applyBorder="1" applyAlignment="1">
      <alignment horizontal="right" vertical="center"/>
    </xf>
    <xf numFmtId="176" fontId="21" fillId="3" borderId="33" xfId="0" applyNumberFormat="1" applyFont="1" applyFill="1" applyBorder="1" applyAlignment="1">
      <alignment horizontal="right" vertical="center"/>
    </xf>
    <xf numFmtId="176" fontId="21" fillId="3" borderId="34" xfId="0" applyNumberFormat="1" applyFont="1" applyFill="1" applyBorder="1" applyAlignment="1">
      <alignment horizontal="right" vertical="center"/>
    </xf>
    <xf numFmtId="0" fontId="21" fillId="3" borderId="85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176" fontId="22" fillId="3" borderId="85" xfId="0" applyNumberFormat="1" applyFont="1" applyFill="1" applyBorder="1" applyAlignment="1">
      <alignment horizontal="center" vertical="center"/>
    </xf>
    <xf numFmtId="176" fontId="22" fillId="3" borderId="86" xfId="0" applyNumberFormat="1" applyFont="1" applyFill="1" applyBorder="1" applyAlignment="1">
      <alignment horizontal="center" vertical="center"/>
    </xf>
    <xf numFmtId="176" fontId="22" fillId="3" borderId="84" xfId="0" applyNumberFormat="1" applyFont="1" applyFill="1" applyBorder="1" applyAlignment="1">
      <alignment horizontal="center" vertical="center"/>
    </xf>
    <xf numFmtId="176" fontId="21" fillId="3" borderId="87" xfId="0" applyNumberFormat="1" applyFont="1" applyFill="1" applyBorder="1" applyAlignment="1">
      <alignment horizontal="right" vertical="center"/>
    </xf>
    <xf numFmtId="176" fontId="21" fillId="3" borderId="88" xfId="0" applyNumberFormat="1" applyFont="1" applyFill="1" applyBorder="1" applyAlignment="1">
      <alignment horizontal="right" vertical="center"/>
    </xf>
    <xf numFmtId="176" fontId="21" fillId="3" borderId="5" xfId="0" applyNumberFormat="1" applyFont="1" applyFill="1" applyBorder="1" applyAlignment="1">
      <alignment horizontal="right" vertical="center"/>
    </xf>
    <xf numFmtId="176" fontId="21" fillId="3" borderId="89" xfId="0" applyNumberFormat="1" applyFont="1" applyFill="1" applyBorder="1" applyAlignment="1">
      <alignment horizontal="right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176" fontId="7" fillId="3" borderId="20" xfId="0" applyNumberFormat="1" applyFont="1" applyFill="1" applyBorder="1"/>
    <xf numFmtId="176" fontId="7" fillId="3" borderId="21" xfId="0" applyNumberFormat="1" applyFont="1" applyFill="1" applyBorder="1"/>
    <xf numFmtId="176" fontId="7" fillId="3" borderId="6" xfId="0" applyNumberFormat="1" applyFont="1" applyFill="1" applyBorder="1"/>
    <xf numFmtId="176" fontId="23" fillId="3" borderId="2" xfId="0" applyNumberFormat="1" applyFont="1" applyFill="1" applyBorder="1"/>
    <xf numFmtId="176" fontId="23" fillId="3" borderId="3" xfId="0" applyNumberFormat="1" applyFont="1" applyFill="1" applyBorder="1"/>
    <xf numFmtId="177" fontId="23" fillId="3" borderId="24" xfId="0" applyNumberFormat="1" applyFont="1" applyFill="1" applyBorder="1"/>
    <xf numFmtId="0" fontId="23" fillId="3" borderId="19" xfId="0" applyFont="1" applyFill="1" applyBorder="1" applyAlignment="1">
      <alignment vertical="center"/>
    </xf>
    <xf numFmtId="176" fontId="23" fillId="3" borderId="32" xfId="0" applyNumberFormat="1" applyFont="1" applyFill="1" applyBorder="1"/>
    <xf numFmtId="176" fontId="23" fillId="3" borderId="33" xfId="0" applyNumberFormat="1" applyFont="1" applyFill="1" applyBorder="1"/>
    <xf numFmtId="177" fontId="23" fillId="3" borderId="34" xfId="0" applyNumberFormat="1" applyFont="1" applyFill="1" applyBorder="1"/>
    <xf numFmtId="0" fontId="23" fillId="3" borderId="81" xfId="0" applyFont="1" applyFill="1" applyBorder="1" applyAlignment="1">
      <alignment vertical="center"/>
    </xf>
    <xf numFmtId="176" fontId="23" fillId="3" borderId="101" xfId="0" applyNumberFormat="1" applyFont="1" applyFill="1" applyBorder="1" applyAlignment="1">
      <alignment vertical="center"/>
    </xf>
    <xf numFmtId="176" fontId="23" fillId="3" borderId="29" xfId="0" applyNumberFormat="1" applyFont="1" applyFill="1" applyBorder="1" applyAlignment="1">
      <alignment vertical="center"/>
    </xf>
    <xf numFmtId="177" fontId="23" fillId="3" borderId="30" xfId="0" applyNumberFormat="1" applyFont="1" applyFill="1" applyBorder="1"/>
    <xf numFmtId="0" fontId="23" fillId="3" borderId="37" xfId="0" applyFont="1" applyFill="1" applyBorder="1" applyAlignment="1">
      <alignment vertical="center"/>
    </xf>
    <xf numFmtId="0" fontId="23" fillId="3" borderId="37" xfId="0" applyFont="1" applyFill="1" applyBorder="1" applyAlignment="1">
      <alignment horizontal="center" vertical="center"/>
    </xf>
    <xf numFmtId="176" fontId="23" fillId="3" borderId="34" xfId="0" applyNumberFormat="1" applyFont="1" applyFill="1" applyBorder="1" applyAlignment="1">
      <alignment vertical="center"/>
    </xf>
    <xf numFmtId="177" fontId="7" fillId="3" borderId="43" xfId="0" applyNumberFormat="1" applyFont="1" applyFill="1" applyBorder="1" applyAlignment="1">
      <alignment vertical="center"/>
    </xf>
    <xf numFmtId="177" fontId="7" fillId="3" borderId="49" xfId="0" applyNumberFormat="1" applyFont="1" applyFill="1" applyBorder="1" applyAlignment="1">
      <alignment vertical="center"/>
    </xf>
    <xf numFmtId="177" fontId="0" fillId="3" borderId="0" xfId="0" applyNumberFormat="1" applyFill="1"/>
    <xf numFmtId="177" fontId="7" fillId="3" borderId="54" xfId="0" applyNumberFormat="1" applyFont="1" applyFill="1" applyBorder="1" applyAlignment="1">
      <alignment vertical="center"/>
    </xf>
    <xf numFmtId="0" fontId="7" fillId="3" borderId="31" xfId="3" applyNumberFormat="1" applyFont="1" applyFill="1" applyBorder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176" fontId="7" fillId="3" borderId="37" xfId="0" applyNumberFormat="1" applyFont="1" applyFill="1" applyBorder="1" applyAlignment="1">
      <alignment vertical="center" wrapText="1"/>
    </xf>
    <xf numFmtId="10" fontId="0" fillId="3" borderId="0" xfId="0" applyNumberFormat="1" applyFill="1"/>
    <xf numFmtId="176" fontId="26" fillId="3" borderId="44" xfId="0" applyNumberFormat="1" applyFont="1" applyFill="1" applyBorder="1" applyAlignment="1">
      <alignment vertical="center" wrapText="1"/>
    </xf>
    <xf numFmtId="176" fontId="26" fillId="3" borderId="47" xfId="0" applyNumberFormat="1" applyFont="1" applyFill="1" applyBorder="1" applyAlignment="1">
      <alignment vertical="center"/>
    </xf>
    <xf numFmtId="176" fontId="26" fillId="3" borderId="48" xfId="0" applyNumberFormat="1" applyFont="1" applyFill="1" applyBorder="1" applyAlignment="1">
      <alignment vertical="center"/>
    </xf>
    <xf numFmtId="177" fontId="26" fillId="3" borderId="49" xfId="0" applyNumberFormat="1" applyFont="1" applyFill="1" applyBorder="1" applyAlignment="1">
      <alignment vertical="center"/>
    </xf>
    <xf numFmtId="176" fontId="7" fillId="3" borderId="58" xfId="0" applyNumberFormat="1" applyFont="1" applyFill="1" applyBorder="1" applyAlignment="1">
      <alignment vertical="center" wrapText="1"/>
    </xf>
    <xf numFmtId="176" fontId="7" fillId="3" borderId="61" xfId="0" applyNumberFormat="1" applyFont="1" applyFill="1" applyBorder="1" applyAlignment="1">
      <alignment vertical="center"/>
    </xf>
    <xf numFmtId="176" fontId="7" fillId="3" borderId="62" xfId="0" applyNumberFormat="1" applyFont="1" applyFill="1" applyBorder="1" applyAlignment="1">
      <alignment vertical="center"/>
    </xf>
    <xf numFmtId="177" fontId="7" fillId="3" borderId="63" xfId="0" applyNumberFormat="1" applyFont="1" applyFill="1" applyBorder="1" applyAlignment="1">
      <alignment vertical="center"/>
    </xf>
    <xf numFmtId="176" fontId="7" fillId="3" borderId="3" xfId="0" applyNumberFormat="1" applyFont="1" applyFill="1" applyBorder="1" applyAlignment="1">
      <alignment vertical="center"/>
    </xf>
    <xf numFmtId="176" fontId="23" fillId="3" borderId="19" xfId="0" applyNumberFormat="1" applyFont="1" applyFill="1" applyBorder="1" applyAlignment="1">
      <alignment vertical="center"/>
    </xf>
    <xf numFmtId="176" fontId="7" fillId="3" borderId="25" xfId="0" applyNumberFormat="1" applyFont="1" applyFill="1" applyBorder="1" applyAlignment="1">
      <alignment vertical="center"/>
    </xf>
    <xf numFmtId="176" fontId="23" fillId="3" borderId="53" xfId="0" applyNumberFormat="1" applyFont="1" applyFill="1" applyBorder="1" applyAlignment="1">
      <alignment vertical="center"/>
    </xf>
    <xf numFmtId="0" fontId="23" fillId="3" borderId="65" xfId="0" applyFont="1" applyFill="1" applyBorder="1" applyAlignment="1">
      <alignment horizontal="center" vertical="center"/>
    </xf>
    <xf numFmtId="0" fontId="23" fillId="3" borderId="66" xfId="0" applyFont="1" applyFill="1" applyBorder="1" applyAlignment="1">
      <alignment horizontal="center" vertical="center"/>
    </xf>
    <xf numFmtId="176" fontId="23" fillId="3" borderId="67" xfId="0" applyNumberFormat="1" applyFont="1" applyFill="1" applyBorder="1" applyAlignment="1">
      <alignment vertical="center"/>
    </xf>
    <xf numFmtId="176" fontId="23" fillId="3" borderId="68" xfId="0" applyNumberFormat="1" applyFont="1" applyFill="1" applyBorder="1" applyAlignment="1">
      <alignment vertical="center"/>
    </xf>
    <xf numFmtId="176" fontId="23" fillId="3" borderId="69" xfId="0" applyNumberFormat="1" applyFont="1" applyFill="1" applyBorder="1" applyAlignment="1">
      <alignment vertical="center"/>
    </xf>
    <xf numFmtId="176" fontId="23" fillId="3" borderId="13" xfId="0" applyNumberFormat="1" applyFont="1" applyFill="1" applyBorder="1" applyAlignment="1">
      <alignment vertical="center"/>
    </xf>
    <xf numFmtId="176" fontId="23" fillId="3" borderId="14" xfId="0" applyNumberFormat="1" applyFont="1" applyFill="1" applyBorder="1" applyAlignment="1">
      <alignment vertical="center"/>
    </xf>
    <xf numFmtId="177" fontId="23" fillId="3" borderId="33" xfId="0" applyNumberFormat="1" applyFont="1" applyFill="1" applyBorder="1" applyAlignment="1">
      <alignment vertical="center"/>
    </xf>
    <xf numFmtId="177" fontId="7" fillId="3" borderId="28" xfId="0" applyNumberFormat="1" applyFont="1" applyFill="1" applyBorder="1" applyAlignment="1">
      <alignment vertical="center"/>
    </xf>
    <xf numFmtId="177" fontId="7" fillId="3" borderId="52" xfId="0" applyNumberFormat="1" applyFont="1" applyFill="1" applyBorder="1" applyAlignment="1">
      <alignment vertical="center"/>
    </xf>
    <xf numFmtId="176" fontId="23" fillId="3" borderId="71" xfId="0" applyNumberFormat="1" applyFont="1" applyFill="1" applyBorder="1" applyAlignment="1">
      <alignment vertical="center"/>
    </xf>
    <xf numFmtId="0" fontId="23" fillId="3" borderId="72" xfId="0" applyFont="1" applyFill="1" applyBorder="1" applyAlignment="1">
      <alignment horizontal="center" vertical="center"/>
    </xf>
    <xf numFmtId="41" fontId="0" fillId="3" borderId="0" xfId="3" applyFont="1" applyFill="1" applyBorder="1"/>
    <xf numFmtId="0" fontId="23" fillId="3" borderId="74" xfId="0" applyFont="1" applyFill="1" applyBorder="1" applyAlignment="1">
      <alignment horizontal="center" vertical="center"/>
    </xf>
    <xf numFmtId="177" fontId="7" fillId="3" borderId="75" xfId="0" applyNumberFormat="1" applyFont="1" applyFill="1" applyBorder="1" applyAlignment="1">
      <alignment vertical="center"/>
    </xf>
    <xf numFmtId="176" fontId="7" fillId="3" borderId="76" xfId="0" applyNumberFormat="1" applyFont="1" applyFill="1" applyBorder="1" applyAlignment="1">
      <alignment vertical="center"/>
    </xf>
    <xf numFmtId="176" fontId="7" fillId="3" borderId="77" xfId="0" applyNumberFormat="1" applyFont="1" applyFill="1" applyBorder="1" applyAlignment="1">
      <alignment vertical="center"/>
    </xf>
    <xf numFmtId="176" fontId="7" fillId="3" borderId="78" xfId="0" applyNumberFormat="1" applyFont="1" applyFill="1" applyBorder="1" applyAlignment="1">
      <alignment vertical="center"/>
    </xf>
    <xf numFmtId="176" fontId="7" fillId="3" borderId="79" xfId="0" applyNumberFormat="1" applyFont="1" applyFill="1" applyBorder="1" applyAlignment="1">
      <alignment vertical="center"/>
    </xf>
    <xf numFmtId="176" fontId="7" fillId="3" borderId="80" xfId="0" applyNumberFormat="1" applyFont="1" applyFill="1" applyBorder="1" applyAlignment="1">
      <alignment vertical="center"/>
    </xf>
    <xf numFmtId="41" fontId="7" fillId="3" borderId="80" xfId="3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/>
    </xf>
    <xf numFmtId="0" fontId="0" fillId="3" borderId="37" xfId="0" applyFill="1" applyBorder="1"/>
    <xf numFmtId="0" fontId="0" fillId="3" borderId="64" xfId="0" applyFill="1" applyBorder="1"/>
    <xf numFmtId="41" fontId="0" fillId="3" borderId="52" xfId="3" applyFont="1" applyFill="1" applyBorder="1"/>
    <xf numFmtId="41" fontId="7" fillId="3" borderId="52" xfId="3" applyFont="1" applyFill="1" applyBorder="1"/>
    <xf numFmtId="0" fontId="0" fillId="3" borderId="81" xfId="0" applyFill="1" applyBorder="1"/>
    <xf numFmtId="0" fontId="23" fillId="3" borderId="81" xfId="0" applyFont="1" applyFill="1" applyBorder="1" applyAlignment="1">
      <alignment horizontal="center"/>
    </xf>
    <xf numFmtId="0" fontId="0" fillId="3" borderId="1" xfId="0" applyFill="1" applyBorder="1"/>
    <xf numFmtId="0" fontId="0" fillId="3" borderId="16" xfId="0" applyFill="1" applyBorder="1"/>
    <xf numFmtId="0" fontId="0" fillId="3" borderId="82" xfId="0" applyFill="1" applyBorder="1"/>
    <xf numFmtId="41" fontId="0" fillId="3" borderId="29" xfId="3" applyFont="1" applyFill="1" applyBorder="1"/>
    <xf numFmtId="41" fontId="7" fillId="3" borderId="29" xfId="3" applyFont="1" applyFill="1" applyBorder="1"/>
    <xf numFmtId="177" fontId="7" fillId="3" borderId="83" xfId="0" applyNumberFormat="1" applyFont="1" applyFill="1" applyBorder="1" applyAlignment="1">
      <alignment vertical="center"/>
    </xf>
    <xf numFmtId="177" fontId="7" fillId="3" borderId="107" xfId="0" applyNumberFormat="1" applyFont="1" applyFill="1" applyBorder="1" applyAlignment="1">
      <alignment vertical="center"/>
    </xf>
    <xf numFmtId="3" fontId="7" fillId="3" borderId="55" xfId="0" applyNumberFormat="1" applyFont="1" applyFill="1" applyBorder="1" applyAlignment="1">
      <alignment horizontal="center" vertical="center" wrapText="1"/>
    </xf>
    <xf numFmtId="0" fontId="22" fillId="0" borderId="133" xfId="0" applyFont="1" applyBorder="1"/>
    <xf numFmtId="0" fontId="22" fillId="3" borderId="133" xfId="0" applyFont="1" applyFill="1" applyBorder="1"/>
    <xf numFmtId="0" fontId="14" fillId="3" borderId="0" xfId="2" applyFill="1">
      <alignment vertical="center"/>
    </xf>
    <xf numFmtId="0" fontId="31" fillId="3" borderId="0" xfId="2" applyFont="1" applyFill="1" applyAlignment="1">
      <alignment horizontal="center" vertical="center"/>
    </xf>
    <xf numFmtId="41" fontId="31" fillId="3" borderId="0" xfId="1" applyFont="1" applyFill="1" applyAlignment="1">
      <alignment horizontal="center" vertical="center"/>
    </xf>
    <xf numFmtId="41" fontId="14" fillId="3" borderId="0" xfId="1" applyFont="1" applyFill="1">
      <alignment vertical="center"/>
    </xf>
    <xf numFmtId="41" fontId="33" fillId="3" borderId="8" xfId="1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left" vertical="center" indent="1" shrinkToFit="1"/>
    </xf>
    <xf numFmtId="0" fontId="33" fillId="3" borderId="97" xfId="2" applyFont="1" applyFill="1" applyBorder="1" applyAlignment="1">
      <alignment horizontal="center" vertical="center" shrinkToFit="1"/>
    </xf>
    <xf numFmtId="41" fontId="33" fillId="3" borderId="8" xfId="1" applyFont="1" applyFill="1" applyBorder="1" applyAlignment="1">
      <alignment horizontal="left" vertical="center" shrinkToFit="1"/>
    </xf>
    <xf numFmtId="0" fontId="33" fillId="8" borderId="106" xfId="2" applyFont="1" applyFill="1" applyBorder="1" applyAlignment="1">
      <alignment horizontal="center" vertical="center" shrinkToFit="1"/>
    </xf>
    <xf numFmtId="41" fontId="33" fillId="8" borderId="8" xfId="1" applyFont="1" applyFill="1" applyBorder="1" applyAlignment="1">
      <alignment horizontal="left" vertical="center" shrinkToFit="1"/>
    </xf>
    <xf numFmtId="0" fontId="33" fillId="3" borderId="106" xfId="2" applyFont="1" applyFill="1" applyBorder="1" applyAlignment="1">
      <alignment horizontal="center" vertical="center" wrapText="1" shrinkToFit="1"/>
    </xf>
    <xf numFmtId="41" fontId="14" fillId="3" borderId="0" xfId="2" applyNumberFormat="1" applyFill="1">
      <alignment vertical="center"/>
    </xf>
    <xf numFmtId="41" fontId="19" fillId="3" borderId="17" xfId="1" applyFont="1" applyFill="1" applyBorder="1" applyAlignment="1">
      <alignment horizontal="left" vertical="center"/>
    </xf>
    <xf numFmtId="41" fontId="14" fillId="3" borderId="17" xfId="1" applyFont="1" applyFill="1" applyBorder="1">
      <alignment vertical="center"/>
    </xf>
    <xf numFmtId="41" fontId="33" fillId="4" borderId="8" xfId="1" applyFont="1" applyFill="1" applyBorder="1" applyAlignment="1">
      <alignment vertical="center" shrinkToFit="1"/>
    </xf>
    <xf numFmtId="176" fontId="23" fillId="3" borderId="25" xfId="0" applyNumberFormat="1" applyFont="1" applyFill="1" applyBorder="1" applyAlignment="1">
      <alignment horizontal="left" vertical="center"/>
    </xf>
    <xf numFmtId="176" fontId="23" fillId="3" borderId="17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76" fontId="7" fillId="3" borderId="31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vertical="center" wrapText="1"/>
    </xf>
    <xf numFmtId="176" fontId="7" fillId="3" borderId="0" xfId="0" applyNumberFormat="1" applyFont="1" applyFill="1" applyAlignment="1">
      <alignment vertical="center"/>
    </xf>
    <xf numFmtId="176" fontId="7" fillId="3" borderId="37" xfId="0" applyNumberFormat="1" applyFont="1" applyFill="1" applyBorder="1" applyAlignment="1">
      <alignment vertical="center"/>
    </xf>
    <xf numFmtId="176" fontId="23" fillId="3" borderId="31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 wrapText="1"/>
    </xf>
    <xf numFmtId="176" fontId="7" fillId="3" borderId="50" xfId="0" applyNumberFormat="1" applyFont="1" applyFill="1" applyBorder="1" applyAlignment="1">
      <alignment horizontal="left" vertical="center"/>
    </xf>
    <xf numFmtId="176" fontId="23" fillId="9" borderId="25" xfId="0" applyNumberFormat="1" applyFont="1" applyFill="1" applyBorder="1" applyAlignment="1">
      <alignment vertical="center"/>
    </xf>
    <xf numFmtId="176" fontId="23" fillId="9" borderId="17" xfId="0" applyNumberFormat="1" applyFont="1" applyFill="1" applyBorder="1" applyAlignment="1">
      <alignment vertical="center"/>
    </xf>
    <xf numFmtId="176" fontId="23" fillId="9" borderId="31" xfId="0" applyNumberFormat="1" applyFont="1" applyFill="1" applyBorder="1" applyAlignment="1">
      <alignment vertical="center"/>
    </xf>
    <xf numFmtId="176" fontId="23" fillId="9" borderId="32" xfId="0" applyNumberFormat="1" applyFont="1" applyFill="1" applyBorder="1" applyAlignment="1">
      <alignment vertical="center"/>
    </xf>
    <xf numFmtId="176" fontId="23" fillId="9" borderId="33" xfId="0" applyNumberFormat="1" applyFont="1" applyFill="1" applyBorder="1" applyAlignment="1">
      <alignment vertical="center"/>
    </xf>
    <xf numFmtId="176" fontId="23" fillId="9" borderId="34" xfId="0" applyNumberFormat="1" applyFont="1" applyFill="1" applyBorder="1" applyAlignment="1">
      <alignment vertical="center"/>
    </xf>
    <xf numFmtId="41" fontId="25" fillId="9" borderId="8" xfId="2" applyNumberFormat="1" applyFont="1" applyFill="1" applyBorder="1">
      <alignment vertical="center"/>
    </xf>
    <xf numFmtId="176" fontId="7" fillId="9" borderId="52" xfId="0" applyNumberFormat="1" applyFont="1" applyFill="1" applyBorder="1" applyAlignment="1">
      <alignment vertical="center"/>
    </xf>
    <xf numFmtId="176" fontId="23" fillId="9" borderId="52" xfId="0" applyNumberFormat="1" applyFont="1" applyFill="1" applyBorder="1" applyAlignment="1">
      <alignment vertical="center"/>
    </xf>
    <xf numFmtId="176" fontId="7" fillId="9" borderId="53" xfId="0" applyNumberFormat="1" applyFont="1" applyFill="1" applyBorder="1" applyAlignment="1">
      <alignment vertical="center"/>
    </xf>
    <xf numFmtId="0" fontId="21" fillId="9" borderId="95" xfId="0" applyFont="1" applyFill="1" applyBorder="1" applyAlignment="1">
      <alignment horizontal="center" vertical="center"/>
    </xf>
    <xf numFmtId="176" fontId="22" fillId="9" borderId="93" xfId="0" applyNumberFormat="1" applyFont="1" applyFill="1" applyBorder="1" applyAlignment="1">
      <alignment horizontal="center" vertical="center"/>
    </xf>
    <xf numFmtId="176" fontId="22" fillId="9" borderId="94" xfId="0" applyNumberFormat="1" applyFont="1" applyFill="1" applyBorder="1" applyAlignment="1">
      <alignment horizontal="center" vertical="center"/>
    </xf>
    <xf numFmtId="176" fontId="22" fillId="9" borderId="95" xfId="0" applyNumberFormat="1" applyFont="1" applyFill="1" applyBorder="1" applyAlignment="1">
      <alignment horizontal="center" vertical="center"/>
    </xf>
    <xf numFmtId="176" fontId="21" fillId="9" borderId="96" xfId="0" applyNumberFormat="1" applyFont="1" applyFill="1" applyBorder="1" applyAlignment="1">
      <alignment horizontal="right" vertical="center"/>
    </xf>
    <xf numFmtId="176" fontId="21" fillId="9" borderId="97" xfId="0" applyNumberFormat="1" applyFont="1" applyFill="1" applyBorder="1" applyAlignment="1">
      <alignment horizontal="right" vertical="center"/>
    </xf>
    <xf numFmtId="176" fontId="21" fillId="9" borderId="56" xfId="0" applyNumberFormat="1" applyFont="1" applyFill="1" applyBorder="1" applyAlignment="1">
      <alignment horizontal="right" vertical="center"/>
    </xf>
    <xf numFmtId="176" fontId="21" fillId="9" borderId="98" xfId="0" applyNumberFormat="1" applyFont="1" applyFill="1" applyBorder="1" applyAlignment="1">
      <alignment horizontal="right" vertical="center"/>
    </xf>
    <xf numFmtId="0" fontId="21" fillId="9" borderId="92" xfId="0" applyFont="1" applyFill="1" applyBorder="1" applyAlignment="1">
      <alignment horizontal="center" vertical="center"/>
    </xf>
    <xf numFmtId="0" fontId="21" fillId="9" borderId="66" xfId="0" applyFont="1" applyFill="1" applyBorder="1" applyAlignment="1">
      <alignment horizontal="center" vertical="center"/>
    </xf>
    <xf numFmtId="176" fontId="22" fillId="9" borderId="67" xfId="0" applyNumberFormat="1" applyFont="1" applyFill="1" applyBorder="1" applyAlignment="1">
      <alignment horizontal="center" vertical="center"/>
    </xf>
    <xf numFmtId="176" fontId="22" fillId="9" borderId="68" xfId="0" applyNumberFormat="1" applyFont="1" applyFill="1" applyBorder="1" applyAlignment="1">
      <alignment horizontal="center" vertical="center"/>
    </xf>
    <xf numFmtId="176" fontId="22" fillId="9" borderId="69" xfId="0" applyNumberFormat="1" applyFont="1" applyFill="1" applyBorder="1" applyAlignment="1">
      <alignment horizontal="center" vertical="center"/>
    </xf>
    <xf numFmtId="176" fontId="21" fillId="9" borderId="13" xfId="0" applyNumberFormat="1" applyFont="1" applyFill="1" applyBorder="1" applyAlignment="1">
      <alignment horizontal="right" vertical="center"/>
    </xf>
    <xf numFmtId="176" fontId="21" fillId="9" borderId="90" xfId="0" applyNumberFormat="1" applyFont="1" applyFill="1" applyBorder="1" applyAlignment="1">
      <alignment horizontal="right" vertical="center"/>
    </xf>
    <xf numFmtId="176" fontId="21" fillId="9" borderId="14" xfId="0" applyNumberFormat="1" applyFont="1" applyFill="1" applyBorder="1" applyAlignment="1">
      <alignment horizontal="right" vertical="center"/>
    </xf>
    <xf numFmtId="176" fontId="21" fillId="9" borderId="91" xfId="0" applyNumberFormat="1" applyFont="1" applyFill="1" applyBorder="1" applyAlignment="1">
      <alignment horizontal="right" vertical="center"/>
    </xf>
    <xf numFmtId="176" fontId="7" fillId="9" borderId="50" xfId="0" applyNumberFormat="1" applyFont="1" applyFill="1" applyBorder="1" applyAlignment="1">
      <alignment vertical="center"/>
    </xf>
    <xf numFmtId="176" fontId="7" fillId="9" borderId="0" xfId="0" applyNumberFormat="1" applyFont="1" applyFill="1" applyAlignment="1">
      <alignment vertical="center"/>
    </xf>
    <xf numFmtId="176" fontId="7" fillId="9" borderId="37" xfId="0" applyNumberFormat="1" applyFont="1" applyFill="1" applyBorder="1" applyAlignment="1">
      <alignment vertical="center"/>
    </xf>
    <xf numFmtId="176" fontId="7" fillId="9" borderId="51" xfId="0" applyNumberFormat="1" applyFont="1" applyFill="1" applyBorder="1" applyAlignment="1">
      <alignment horizontal="right" vertical="center"/>
    </xf>
    <xf numFmtId="177" fontId="7" fillId="9" borderId="53" xfId="0" applyNumberFormat="1" applyFont="1" applyFill="1" applyBorder="1" applyAlignment="1">
      <alignment vertical="center"/>
    </xf>
    <xf numFmtId="176" fontId="7" fillId="9" borderId="31" xfId="0" applyNumberFormat="1" applyFont="1" applyFill="1" applyBorder="1" applyAlignment="1">
      <alignment vertical="center"/>
    </xf>
    <xf numFmtId="176" fontId="23" fillId="9" borderId="32" xfId="0" applyNumberFormat="1" applyFont="1" applyFill="1" applyBorder="1" applyAlignment="1">
      <alignment horizontal="right" vertical="center"/>
    </xf>
    <xf numFmtId="176" fontId="7" fillId="9" borderId="33" xfId="0" applyNumberFormat="1" applyFont="1" applyFill="1" applyBorder="1" applyAlignment="1">
      <alignment vertical="center"/>
    </xf>
    <xf numFmtId="177" fontId="23" fillId="9" borderId="34" xfId="0" applyNumberFormat="1" applyFont="1" applyFill="1" applyBorder="1" applyAlignment="1">
      <alignment vertical="center"/>
    </xf>
    <xf numFmtId="176" fontId="7" fillId="9" borderId="64" xfId="0" applyNumberFormat="1" applyFont="1" applyFill="1" applyBorder="1" applyAlignment="1">
      <alignment horizontal="right" vertical="center"/>
    </xf>
    <xf numFmtId="176" fontId="7" fillId="9" borderId="51" xfId="0" applyNumberFormat="1" applyFont="1" applyFill="1" applyBorder="1" applyAlignment="1">
      <alignment vertical="center"/>
    </xf>
    <xf numFmtId="0" fontId="35" fillId="0" borderId="18" xfId="2" applyFont="1" applyBorder="1" applyAlignment="1">
      <alignment horizontal="center" vertical="center" wrapText="1"/>
    </xf>
    <xf numFmtId="41" fontId="36" fillId="0" borderId="0" xfId="0" applyNumberFormat="1" applyFont="1" applyAlignment="1">
      <alignment horizontal="left"/>
    </xf>
    <xf numFmtId="41" fontId="0" fillId="0" borderId="0" xfId="1" applyFont="1" applyAlignment="1"/>
    <xf numFmtId="41" fontId="21" fillId="0" borderId="25" xfId="1" applyFont="1" applyBorder="1" applyAlignment="1">
      <alignment horizontal="center" vertical="center"/>
    </xf>
    <xf numFmtId="41" fontId="39" fillId="0" borderId="25" xfId="1" applyFont="1" applyBorder="1" applyAlignment="1">
      <alignment horizontal="center" vertical="center"/>
    </xf>
    <xf numFmtId="41" fontId="39" fillId="0" borderId="19" xfId="1" applyFont="1" applyBorder="1" applyAlignment="1">
      <alignment horizontal="center" vertical="center"/>
    </xf>
    <xf numFmtId="41" fontId="39" fillId="0" borderId="31" xfId="1" applyFont="1" applyBorder="1" applyAlignment="1">
      <alignment horizontal="center" vertical="center"/>
    </xf>
    <xf numFmtId="41" fontId="40" fillId="0" borderId="25" xfId="1" applyFont="1" applyBorder="1" applyAlignment="1">
      <alignment vertical="center"/>
    </xf>
    <xf numFmtId="41" fontId="40" fillId="0" borderId="17" xfId="1" applyFont="1" applyBorder="1" applyAlignment="1">
      <alignment vertical="center"/>
    </xf>
    <xf numFmtId="41" fontId="23" fillId="0" borderId="85" xfId="1" applyFont="1" applyBorder="1" applyAlignment="1">
      <alignment horizontal="center" vertical="center"/>
    </xf>
    <xf numFmtId="41" fontId="23" fillId="0" borderId="35" xfId="1" applyFont="1" applyBorder="1" applyAlignment="1">
      <alignment horizontal="center" vertical="center"/>
    </xf>
    <xf numFmtId="41" fontId="7" fillId="0" borderId="85" xfId="1" applyFont="1" applyBorder="1" applyAlignment="1">
      <alignment horizontal="center" vertical="center"/>
    </xf>
    <xf numFmtId="41" fontId="7" fillId="0" borderId="86" xfId="1" applyFont="1" applyBorder="1" applyAlignment="1">
      <alignment horizontal="center" vertical="center"/>
    </xf>
    <xf numFmtId="41" fontId="23" fillId="0" borderId="67" xfId="1" applyFont="1" applyBorder="1" applyAlignment="1">
      <alignment horizontal="center" vertical="center"/>
    </xf>
    <xf numFmtId="41" fontId="23" fillId="0" borderId="66" xfId="1" applyFont="1" applyBorder="1" applyAlignment="1">
      <alignment horizontal="center" vertical="center"/>
    </xf>
    <xf numFmtId="41" fontId="7" fillId="0" borderId="67" xfId="1" applyFont="1" applyBorder="1" applyAlignment="1">
      <alignment horizontal="center" vertical="center"/>
    </xf>
    <xf numFmtId="41" fontId="7" fillId="0" borderId="68" xfId="1" applyFont="1" applyBorder="1" applyAlignment="1">
      <alignment horizontal="center" vertical="center"/>
    </xf>
    <xf numFmtId="41" fontId="23" fillId="0" borderId="93" xfId="1" applyFont="1" applyBorder="1" applyAlignment="1">
      <alignment horizontal="center" vertical="center"/>
    </xf>
    <xf numFmtId="41" fontId="23" fillId="0" borderId="92" xfId="1" applyFont="1" applyBorder="1" applyAlignment="1">
      <alignment horizontal="center" vertical="center"/>
    </xf>
    <xf numFmtId="41" fontId="7" fillId="0" borderId="146" xfId="1" applyFont="1" applyBorder="1" applyAlignment="1">
      <alignment horizontal="center" vertical="center"/>
    </xf>
    <xf numFmtId="41" fontId="7" fillId="0" borderId="50" xfId="1" applyFont="1" applyBorder="1" applyAlignment="1">
      <alignment vertical="center"/>
    </xf>
    <xf numFmtId="41" fontId="7" fillId="0" borderId="59" xfId="1" applyFont="1" applyBorder="1" applyAlignment="1">
      <alignment horizontal="center" vertical="center"/>
    </xf>
    <xf numFmtId="41" fontId="7" fillId="0" borderId="147" xfId="1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41" fontId="7" fillId="0" borderId="20" xfId="1" applyFont="1" applyBorder="1" applyAlignment="1"/>
    <xf numFmtId="41" fontId="7" fillId="0" borderId="21" xfId="1" applyFont="1" applyBorder="1" applyAlignment="1"/>
    <xf numFmtId="41" fontId="23" fillId="0" borderId="70" xfId="1" applyFont="1" applyBorder="1" applyAlignment="1"/>
    <xf numFmtId="41" fontId="23" fillId="0" borderId="36" xfId="1" applyFont="1" applyBorder="1" applyAlignment="1">
      <alignment horizontal="center" vertical="center"/>
    </xf>
    <xf numFmtId="41" fontId="23" fillId="0" borderId="66" xfId="1" applyFont="1" applyBorder="1" applyAlignment="1">
      <alignment vertical="center"/>
    </xf>
    <xf numFmtId="41" fontId="23" fillId="0" borderId="67" xfId="1" applyFont="1" applyBorder="1" applyAlignment="1">
      <alignment vertical="center"/>
    </xf>
    <xf numFmtId="41" fontId="23" fillId="0" borderId="81" xfId="1" applyFont="1" applyBorder="1" applyAlignment="1">
      <alignment vertical="center"/>
    </xf>
    <xf numFmtId="41" fontId="7" fillId="0" borderId="26" xfId="1" applyFont="1" applyBorder="1" applyAlignment="1"/>
    <xf numFmtId="41" fontId="7" fillId="0" borderId="1" xfId="1" applyFont="1" applyBorder="1" applyAlignment="1"/>
    <xf numFmtId="41" fontId="23" fillId="0" borderId="81" xfId="1" applyFont="1" applyBorder="1" applyAlignment="1"/>
    <xf numFmtId="41" fontId="23" fillId="10" borderId="25" xfId="1" applyFont="1" applyFill="1" applyBorder="1" applyAlignment="1">
      <alignment vertical="center"/>
    </xf>
    <xf numFmtId="41" fontId="23" fillId="0" borderId="25" xfId="1" applyFont="1" applyBorder="1" applyAlignment="1">
      <alignment vertical="center"/>
    </xf>
    <xf numFmtId="41" fontId="23" fillId="0" borderId="34" xfId="1" applyFont="1" applyBorder="1" applyAlignment="1"/>
    <xf numFmtId="41" fontId="23" fillId="0" borderId="37" xfId="1" applyFont="1" applyBorder="1" applyAlignment="1">
      <alignment horizontal="center" vertical="center"/>
    </xf>
    <xf numFmtId="41" fontId="23" fillId="0" borderId="0" xfId="1" applyFont="1" applyBorder="1" applyAlignment="1">
      <alignment horizontal="center" vertical="center"/>
    </xf>
    <xf numFmtId="41" fontId="23" fillId="0" borderId="70" xfId="1" applyFont="1" applyBorder="1" applyAlignment="1">
      <alignment horizontal="center" vertical="center"/>
    </xf>
    <xf numFmtId="41" fontId="23" fillId="0" borderId="17" xfId="1" applyFont="1" applyBorder="1" applyAlignment="1">
      <alignment vertical="center"/>
    </xf>
    <xf numFmtId="41" fontId="23" fillId="0" borderId="31" xfId="1" applyFont="1" applyBorder="1" applyAlignment="1">
      <alignment vertical="center"/>
    </xf>
    <xf numFmtId="41" fontId="23" fillId="0" borderId="34" xfId="1" applyFont="1" applyBorder="1" applyAlignment="1">
      <alignment vertical="center"/>
    </xf>
    <xf numFmtId="41" fontId="7" fillId="0" borderId="38" xfId="1" applyFont="1" applyFill="1" applyBorder="1" applyAlignment="1">
      <alignment vertical="center" wrapText="1"/>
    </xf>
    <xf numFmtId="41" fontId="7" fillId="0" borderId="39" xfId="1" applyFont="1" applyFill="1" applyBorder="1" applyAlignment="1">
      <alignment horizontal="center" vertical="center" wrapText="1"/>
    </xf>
    <xf numFmtId="41" fontId="7" fillId="0" borderId="40" xfId="1" applyFont="1" applyFill="1" applyBorder="1" applyAlignment="1">
      <alignment horizontal="left" vertical="center" wrapText="1"/>
    </xf>
    <xf numFmtId="41" fontId="7" fillId="0" borderId="43" xfId="1" applyFont="1" applyBorder="1" applyAlignment="1">
      <alignment vertical="center"/>
    </xf>
    <xf numFmtId="41" fontId="7" fillId="0" borderId="44" xfId="1" applyFont="1" applyFill="1" applyBorder="1" applyAlignment="1">
      <alignment vertical="center" wrapText="1"/>
    </xf>
    <xf numFmtId="41" fontId="7" fillId="0" borderId="45" xfId="1" applyFont="1" applyFill="1" applyBorder="1" applyAlignment="1">
      <alignment horizontal="center" vertical="center" wrapText="1"/>
    </xf>
    <xf numFmtId="41" fontId="7" fillId="0" borderId="49" xfId="1" applyFont="1" applyBorder="1" applyAlignment="1">
      <alignment vertical="center"/>
    </xf>
    <xf numFmtId="41" fontId="7" fillId="3" borderId="44" xfId="1" applyFont="1" applyFill="1" applyBorder="1" applyAlignment="1">
      <alignment vertical="center" wrapText="1"/>
    </xf>
    <xf numFmtId="41" fontId="7" fillId="3" borderId="45" xfId="1" applyFont="1" applyFill="1" applyBorder="1" applyAlignment="1">
      <alignment horizontal="center" vertical="center" wrapText="1"/>
    </xf>
    <xf numFmtId="41" fontId="7" fillId="3" borderId="49" xfId="1" applyFont="1" applyFill="1" applyBorder="1" applyAlignment="1">
      <alignment vertical="center"/>
    </xf>
    <xf numFmtId="3" fontId="7" fillId="3" borderId="45" xfId="1" applyNumberFormat="1" applyFont="1" applyFill="1" applyBorder="1" applyAlignment="1">
      <alignment horizontal="center" vertical="center" wrapText="1"/>
    </xf>
    <xf numFmtId="41" fontId="7" fillId="0" borderId="46" xfId="1" applyFont="1" applyFill="1" applyBorder="1" applyAlignment="1">
      <alignment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41" fontId="7" fillId="3" borderId="46" xfId="1" applyFont="1" applyFill="1" applyBorder="1" applyAlignment="1">
      <alignment vertical="center" wrapText="1"/>
    </xf>
    <xf numFmtId="41" fontId="7" fillId="3" borderId="44" xfId="1" applyFont="1" applyFill="1" applyBorder="1" applyAlignment="1">
      <alignment vertical="center"/>
    </xf>
    <xf numFmtId="41" fontId="7" fillId="0" borderId="99" xfId="1" applyFont="1" applyFill="1" applyBorder="1" applyAlignment="1">
      <alignment vertical="center" wrapText="1"/>
    </xf>
    <xf numFmtId="41" fontId="7" fillId="0" borderId="55" xfId="1" applyFont="1" applyFill="1" applyBorder="1" applyAlignment="1">
      <alignment horizontal="center" vertical="center" wrapText="1"/>
    </xf>
    <xf numFmtId="41" fontId="7" fillId="0" borderId="37" xfId="1" applyFont="1" applyFill="1" applyBorder="1" applyAlignment="1">
      <alignment horizontal="left" vertical="center" wrapText="1"/>
    </xf>
    <xf numFmtId="41" fontId="7" fillId="3" borderId="54" xfId="1" applyFont="1" applyFill="1" applyBorder="1" applyAlignment="1">
      <alignment vertical="center"/>
    </xf>
    <xf numFmtId="41" fontId="23" fillId="0" borderId="25" xfId="1" applyFont="1" applyBorder="1" applyAlignment="1">
      <alignment horizontal="center" vertical="center"/>
    </xf>
    <xf numFmtId="41" fontId="23" fillId="0" borderId="17" xfId="1" applyFont="1" applyBorder="1" applyAlignment="1">
      <alignment horizontal="center" vertical="center"/>
    </xf>
    <xf numFmtId="41" fontId="23" fillId="0" borderId="31" xfId="1" applyFont="1" applyBorder="1" applyAlignment="1">
      <alignment horizontal="center" vertical="center"/>
    </xf>
    <xf numFmtId="41" fontId="23" fillId="0" borderId="31" xfId="1" applyFont="1" applyFill="1" applyBorder="1" applyAlignment="1">
      <alignment vertical="center" wrapText="1"/>
    </xf>
    <xf numFmtId="41" fontId="23" fillId="10" borderId="26" xfId="1" applyFont="1" applyFill="1" applyBorder="1" applyAlignment="1">
      <alignment horizontal="center" vertical="center"/>
    </xf>
    <xf numFmtId="41" fontId="23" fillId="10" borderId="19" xfId="1" applyFont="1" applyFill="1" applyBorder="1" applyAlignment="1">
      <alignment horizontal="center" vertical="center"/>
    </xf>
    <xf numFmtId="41" fontId="23" fillId="0" borderId="1" xfId="1" applyFont="1" applyBorder="1" applyAlignment="1">
      <alignment horizontal="center" vertical="center"/>
    </xf>
    <xf numFmtId="41" fontId="23" fillId="0" borderId="16" xfId="1" applyFont="1" applyBorder="1" applyAlignment="1">
      <alignment horizontal="center" vertical="center"/>
    </xf>
    <xf numFmtId="41" fontId="23" fillId="0" borderId="26" xfId="1" applyFont="1" applyBorder="1" applyAlignment="1">
      <alignment vertical="center"/>
    </xf>
    <xf numFmtId="41" fontId="23" fillId="0" borderId="1" xfId="1" applyFont="1" applyBorder="1" applyAlignment="1">
      <alignment vertical="center"/>
    </xf>
    <xf numFmtId="41" fontId="23" fillId="0" borderId="16" xfId="1" applyFont="1" applyBorder="1" applyAlignment="1">
      <alignment vertical="center"/>
    </xf>
    <xf numFmtId="41" fontId="23" fillId="0" borderId="30" xfId="1" applyFont="1" applyBorder="1" applyAlignment="1">
      <alignment vertical="center"/>
    </xf>
    <xf numFmtId="41" fontId="7" fillId="0" borderId="109" xfId="1" applyFont="1" applyBorder="1" applyAlignment="1">
      <alignment vertical="center"/>
    </xf>
    <xf numFmtId="41" fontId="7" fillId="0" borderId="102" xfId="1" applyFont="1" applyBorder="1" applyAlignment="1">
      <alignment vertical="center"/>
    </xf>
    <xf numFmtId="41" fontId="7" fillId="0" borderId="39" xfId="1" applyFont="1" applyBorder="1" applyAlignment="1">
      <alignment vertical="center"/>
    </xf>
    <xf numFmtId="41" fontId="7" fillId="0" borderId="40" xfId="1" applyFont="1" applyBorder="1" applyAlignment="1">
      <alignment vertical="center"/>
    </xf>
    <xf numFmtId="41" fontId="7" fillId="0" borderId="45" xfId="1" applyFont="1" applyBorder="1" applyAlignment="1">
      <alignment vertical="center"/>
    </xf>
    <xf numFmtId="41" fontId="7" fillId="0" borderId="46" xfId="1" applyFont="1" applyBorder="1" applyAlignment="1">
      <alignment vertical="center"/>
    </xf>
    <xf numFmtId="41" fontId="7" fillId="0" borderId="46" xfId="1" applyFont="1" applyBorder="1" applyAlignment="1">
      <alignment vertical="center" wrapText="1"/>
    </xf>
    <xf numFmtId="41" fontId="23" fillId="0" borderId="81" xfId="1" applyFont="1" applyBorder="1" applyAlignment="1">
      <alignment horizontal="center" vertical="center"/>
    </xf>
    <xf numFmtId="41" fontId="7" fillId="0" borderId="50" xfId="1" applyFont="1" applyBorder="1" applyAlignment="1">
      <alignment vertical="center" wrapText="1"/>
    </xf>
    <xf numFmtId="41" fontId="7" fillId="0" borderId="0" xfId="1" applyFont="1" applyBorder="1" applyAlignment="1">
      <alignment horizontal="right" vertical="center" wrapText="1"/>
    </xf>
    <xf numFmtId="41" fontId="7" fillId="0" borderId="37" xfId="1" applyFont="1" applyBorder="1" applyAlignment="1">
      <alignment vertical="center" wrapText="1"/>
    </xf>
    <xf numFmtId="41" fontId="23" fillId="0" borderId="53" xfId="1" applyFont="1" applyBorder="1" applyAlignment="1">
      <alignment vertical="center"/>
    </xf>
    <xf numFmtId="41" fontId="23" fillId="10" borderId="25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vertical="center"/>
    </xf>
    <xf numFmtId="41" fontId="23" fillId="3" borderId="17" xfId="1" applyFont="1" applyFill="1" applyBorder="1" applyAlignment="1">
      <alignment vertical="center"/>
    </xf>
    <xf numFmtId="41" fontId="23" fillId="3" borderId="31" xfId="1" applyFont="1" applyFill="1" applyBorder="1" applyAlignment="1">
      <alignment vertical="center"/>
    </xf>
    <xf numFmtId="41" fontId="23" fillId="3" borderId="34" xfId="1" applyFont="1" applyFill="1" applyBorder="1" applyAlignment="1">
      <alignment vertical="center"/>
    </xf>
    <xf numFmtId="41" fontId="7" fillId="3" borderId="38" xfId="1" applyFont="1" applyFill="1" applyBorder="1" applyAlignment="1">
      <alignment vertical="center" wrapText="1"/>
    </xf>
    <xf numFmtId="41" fontId="7" fillId="3" borderId="43" xfId="1" applyFont="1" applyFill="1" applyBorder="1" applyAlignment="1">
      <alignment vertical="center"/>
    </xf>
    <xf numFmtId="3" fontId="7" fillId="3" borderId="39" xfId="1" applyNumberFormat="1" applyFont="1" applyFill="1" applyBorder="1" applyAlignment="1">
      <alignment horizontal="center" vertical="center" wrapText="1"/>
    </xf>
    <xf numFmtId="41" fontId="7" fillId="3" borderId="50" xfId="1" applyFont="1" applyFill="1" applyBorder="1" applyAlignment="1">
      <alignment vertical="center"/>
    </xf>
    <xf numFmtId="41" fontId="7" fillId="3" borderId="0" xfId="1" applyFont="1" applyFill="1" applyBorder="1" applyAlignment="1">
      <alignment vertical="center"/>
    </xf>
    <xf numFmtId="41" fontId="7" fillId="3" borderId="37" xfId="1" applyFont="1" applyFill="1" applyBorder="1" applyAlignment="1">
      <alignment vertical="center"/>
    </xf>
    <xf numFmtId="41" fontId="7" fillId="3" borderId="53" xfId="1" applyFont="1" applyFill="1" applyBorder="1" applyAlignment="1">
      <alignment vertical="center"/>
    </xf>
    <xf numFmtId="41" fontId="7" fillId="3" borderId="21" xfId="1" applyFont="1" applyFill="1" applyBorder="1" applyAlignment="1">
      <alignment vertical="center"/>
    </xf>
    <xf numFmtId="41" fontId="7" fillId="3" borderId="1" xfId="1" applyFont="1" applyFill="1" applyBorder="1" applyAlignment="1">
      <alignment vertical="center"/>
    </xf>
    <xf numFmtId="41" fontId="7" fillId="3" borderId="39" xfId="1" applyFont="1" applyFill="1" applyBorder="1" applyAlignment="1">
      <alignment horizontal="center" vertical="center" wrapText="1"/>
    </xf>
    <xf numFmtId="41" fontId="23" fillId="0" borderId="50" xfId="1" applyFont="1" applyBorder="1" applyAlignment="1">
      <alignment horizontal="center" vertical="center"/>
    </xf>
    <xf numFmtId="41" fontId="7" fillId="3" borderId="58" xfId="1" applyFont="1" applyFill="1" applyBorder="1" applyAlignment="1">
      <alignment vertical="center" wrapText="1"/>
    </xf>
    <xf numFmtId="41" fontId="7" fillId="3" borderId="63" xfId="1" applyFont="1" applyFill="1" applyBorder="1" applyAlignment="1">
      <alignment vertical="center"/>
    </xf>
    <xf numFmtId="41" fontId="7" fillId="3" borderId="24" xfId="1" applyFont="1" applyFill="1" applyBorder="1" applyAlignment="1">
      <alignment vertical="center"/>
    </xf>
    <xf numFmtId="41" fontId="7" fillId="3" borderId="2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vertical="center"/>
    </xf>
    <xf numFmtId="41" fontId="7" fillId="3" borderId="31" xfId="1" applyFont="1" applyFill="1" applyBorder="1" applyAlignment="1">
      <alignment vertical="center"/>
    </xf>
    <xf numFmtId="41" fontId="7" fillId="0" borderId="0" xfId="1" applyFont="1" applyBorder="1" applyAlignment="1">
      <alignment vertical="center"/>
    </xf>
    <xf numFmtId="41" fontId="7" fillId="0" borderId="37" xfId="1" applyFont="1" applyBorder="1" applyAlignment="1">
      <alignment vertical="center"/>
    </xf>
    <xf numFmtId="41" fontId="7" fillId="0" borderId="53" xfId="1" applyFont="1" applyBorder="1" applyAlignment="1">
      <alignment vertical="center"/>
    </xf>
    <xf numFmtId="41" fontId="7" fillId="0" borderId="31" xfId="1" applyFont="1" applyBorder="1" applyAlignment="1">
      <alignment vertical="center"/>
    </xf>
    <xf numFmtId="41" fontId="23" fillId="0" borderId="19" xfId="1" applyFont="1" applyBorder="1" applyAlignment="1">
      <alignment vertical="center"/>
    </xf>
    <xf numFmtId="41" fontId="23" fillId="0" borderId="0" xfId="1" applyFont="1" applyBorder="1" applyAlignment="1">
      <alignment vertical="center"/>
    </xf>
    <xf numFmtId="41" fontId="7" fillId="0" borderId="70" xfId="1" applyFont="1" applyBorder="1" applyAlignment="1">
      <alignment vertical="center"/>
    </xf>
    <xf numFmtId="41" fontId="0" fillId="0" borderId="0" xfId="1" applyFont="1" applyBorder="1" applyAlignment="1"/>
    <xf numFmtId="41" fontId="7" fillId="0" borderId="36" xfId="1" applyFont="1" applyFill="1" applyBorder="1" applyAlignment="1">
      <alignment vertical="center"/>
    </xf>
    <xf numFmtId="41" fontId="7" fillId="0" borderId="36" xfId="1" applyFont="1" applyBorder="1" applyAlignment="1">
      <alignment vertical="center"/>
    </xf>
    <xf numFmtId="41" fontId="23" fillId="11" borderId="25" xfId="1" applyFont="1" applyFill="1" applyBorder="1" applyAlignment="1">
      <alignment horizontal="center" vertical="center"/>
    </xf>
    <xf numFmtId="41" fontId="23" fillId="11" borderId="19" xfId="1" applyFont="1" applyFill="1" applyBorder="1" applyAlignment="1">
      <alignment horizontal="center" vertical="center"/>
    </xf>
    <xf numFmtId="41" fontId="7" fillId="0" borderId="25" xfId="1" applyFont="1" applyBorder="1" applyAlignment="1">
      <alignment vertical="center"/>
    </xf>
    <xf numFmtId="41" fontId="7" fillId="0" borderId="17" xfId="1" applyFont="1" applyBorder="1" applyAlignment="1">
      <alignment vertical="center"/>
    </xf>
    <xf numFmtId="41" fontId="23" fillId="11" borderId="26" xfId="1" applyFont="1" applyFill="1" applyBorder="1" applyAlignment="1">
      <alignment horizontal="center" vertical="center"/>
    </xf>
    <xf numFmtId="41" fontId="23" fillId="11" borderId="81" xfId="1" applyFont="1" applyFill="1" applyBorder="1" applyAlignment="1">
      <alignment horizontal="center" vertical="center"/>
    </xf>
    <xf numFmtId="41" fontId="23" fillId="11" borderId="0" xfId="1" applyFont="1" applyFill="1" applyBorder="1" applyAlignment="1">
      <alignment horizontal="center" vertical="center"/>
    </xf>
    <xf numFmtId="41" fontId="23" fillId="9" borderId="25" xfId="1" applyFont="1" applyFill="1" applyBorder="1" applyAlignment="1">
      <alignment horizontal="center" vertical="center"/>
    </xf>
    <xf numFmtId="41" fontId="23" fillId="0" borderId="65" xfId="1" applyFont="1" applyBorder="1" applyAlignment="1">
      <alignment horizontal="center" vertical="center"/>
    </xf>
    <xf numFmtId="41" fontId="23" fillId="9" borderId="50" xfId="1" applyFont="1" applyFill="1" applyBorder="1" applyAlignment="1">
      <alignment horizontal="center" vertical="center"/>
    </xf>
    <xf numFmtId="41" fontId="7" fillId="0" borderId="50" xfId="1" applyFont="1" applyBorder="1" applyAlignment="1">
      <alignment horizontal="left" vertical="center"/>
    </xf>
    <xf numFmtId="41" fontId="23" fillId="0" borderId="37" xfId="1" applyFont="1" applyBorder="1" applyAlignment="1">
      <alignment vertical="center"/>
    </xf>
    <xf numFmtId="41" fontId="7" fillId="3" borderId="50" xfId="1" applyFont="1" applyFill="1" applyBorder="1" applyAlignment="1">
      <alignment horizontal="left" vertical="center"/>
    </xf>
    <xf numFmtId="41" fontId="23" fillId="3" borderId="0" xfId="1" applyFont="1" applyFill="1" applyBorder="1" applyAlignment="1">
      <alignment vertical="center"/>
    </xf>
    <xf numFmtId="41" fontId="23" fillId="3" borderId="37" xfId="1" applyFont="1" applyFill="1" applyBorder="1" applyAlignment="1">
      <alignment vertical="center"/>
    </xf>
    <xf numFmtId="41" fontId="23" fillId="3" borderId="36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41" fontId="23" fillId="0" borderId="21" xfId="1" applyFont="1" applyBorder="1" applyAlignment="1">
      <alignment vertical="center"/>
    </xf>
    <xf numFmtId="41" fontId="23" fillId="0" borderId="6" xfId="1" applyFont="1" applyBorder="1" applyAlignment="1">
      <alignment vertical="center"/>
    </xf>
    <xf numFmtId="41" fontId="7" fillId="0" borderId="24" xfId="1" applyFont="1" applyBorder="1" applyAlignment="1">
      <alignment vertical="center"/>
    </xf>
    <xf numFmtId="41" fontId="23" fillId="0" borderId="72" xfId="1" applyFont="1" applyBorder="1" applyAlignment="1">
      <alignment horizontal="center" vertical="center"/>
    </xf>
    <xf numFmtId="41" fontId="23" fillId="0" borderId="73" xfId="1" applyFont="1" applyBorder="1" applyAlignment="1">
      <alignment horizontal="center" vertical="center"/>
    </xf>
    <xf numFmtId="41" fontId="23" fillId="3" borderId="73" xfId="1" applyFont="1" applyFill="1" applyBorder="1" applyAlignment="1">
      <alignment horizontal="center" vertical="center"/>
    </xf>
    <xf numFmtId="41" fontId="23" fillId="3" borderId="76" xfId="1" applyFont="1" applyFill="1" applyBorder="1" applyAlignment="1">
      <alignment horizontal="center" vertical="center"/>
    </xf>
    <xf numFmtId="41" fontId="7" fillId="3" borderId="76" xfId="1" applyFont="1" applyFill="1" applyBorder="1" applyAlignment="1">
      <alignment vertical="center"/>
    </xf>
    <xf numFmtId="41" fontId="7" fillId="3" borderId="77" xfId="1" applyFont="1" applyFill="1" applyBorder="1" applyAlignment="1">
      <alignment vertical="center"/>
    </xf>
    <xf numFmtId="41" fontId="7" fillId="3" borderId="78" xfId="1" applyFont="1" applyFill="1" applyBorder="1" applyAlignment="1">
      <alignment vertical="center"/>
    </xf>
    <xf numFmtId="41" fontId="7" fillId="0" borderId="107" xfId="1" applyFont="1" applyBorder="1" applyAlignment="1">
      <alignment vertical="center"/>
    </xf>
    <xf numFmtId="41" fontId="23" fillId="0" borderId="76" xfId="1" applyFont="1" applyBorder="1" applyAlignment="1">
      <alignment horizontal="center" vertical="center"/>
    </xf>
    <xf numFmtId="41" fontId="7" fillId="0" borderId="75" xfId="1" applyFont="1" applyBorder="1" applyAlignment="1">
      <alignment vertical="center"/>
    </xf>
    <xf numFmtId="41" fontId="23" fillId="0" borderId="74" xfId="1" applyFont="1" applyBorder="1" applyAlignment="1">
      <alignment horizontal="center" vertical="center"/>
    </xf>
    <xf numFmtId="41" fontId="23" fillId="0" borderId="36" xfId="1" applyFont="1" applyBorder="1" applyAlignment="1">
      <alignment horizontal="center"/>
    </xf>
    <xf numFmtId="41" fontId="23" fillId="0" borderId="50" xfId="1" applyFont="1" applyBorder="1" applyAlignment="1">
      <alignment horizontal="center"/>
    </xf>
    <xf numFmtId="41" fontId="7" fillId="0" borderId="76" xfId="1" applyFont="1" applyBorder="1" applyAlignment="1">
      <alignment vertical="center"/>
    </xf>
    <xf numFmtId="41" fontId="0" fillId="0" borderId="37" xfId="1" applyFont="1" applyBorder="1" applyAlignment="1"/>
    <xf numFmtId="41" fontId="7" fillId="0" borderId="148" xfId="1" applyFont="1" applyBorder="1" applyAlignment="1">
      <alignment vertical="center"/>
    </xf>
    <xf numFmtId="41" fontId="0" fillId="0" borderId="81" xfId="1" applyFont="1" applyBorder="1" applyAlignment="1"/>
    <xf numFmtId="41" fontId="23" fillId="0" borderId="81" xfId="1" applyFont="1" applyBorder="1" applyAlignment="1">
      <alignment horizontal="center"/>
    </xf>
    <xf numFmtId="41" fontId="23" fillId="0" borderId="26" xfId="1" applyFont="1" applyBorder="1" applyAlignment="1">
      <alignment horizontal="center"/>
    </xf>
    <xf numFmtId="41" fontId="7" fillId="0" borderId="26" xfId="1" applyFont="1" applyFill="1" applyBorder="1" applyAlignment="1">
      <alignment vertical="center"/>
    </xf>
    <xf numFmtId="41" fontId="0" fillId="0" borderId="1" xfId="1" applyFont="1" applyBorder="1" applyAlignment="1"/>
    <xf numFmtId="41" fontId="0" fillId="0" borderId="16" xfId="1" applyFont="1" applyBorder="1" applyAlignment="1"/>
    <xf numFmtId="41" fontId="7" fillId="0" borderId="83" xfId="1" applyFont="1" applyBorder="1" applyAlignment="1">
      <alignment vertical="center"/>
    </xf>
    <xf numFmtId="41" fontId="7" fillId="3" borderId="45" xfId="1" applyFont="1" applyFill="1" applyBorder="1" applyAlignment="1">
      <alignment vertical="center" wrapText="1"/>
    </xf>
    <xf numFmtId="41" fontId="7" fillId="3" borderId="39" xfId="1" applyFont="1" applyFill="1" applyBorder="1" applyAlignment="1">
      <alignment vertical="center" wrapText="1"/>
    </xf>
    <xf numFmtId="41" fontId="7" fillId="3" borderId="40" xfId="1" applyFont="1" applyFill="1" applyBorder="1" applyAlignment="1">
      <alignment vertical="center" wrapText="1"/>
    </xf>
    <xf numFmtId="41" fontId="7" fillId="3" borderId="59" xfId="1" applyFont="1" applyFill="1" applyBorder="1" applyAlignment="1">
      <alignment vertical="center" wrapText="1"/>
    </xf>
    <xf numFmtId="41" fontId="7" fillId="3" borderId="60" xfId="1" applyFont="1" applyFill="1" applyBorder="1" applyAlignment="1">
      <alignment vertical="center" wrapText="1"/>
    </xf>
    <xf numFmtId="41" fontId="23" fillId="3" borderId="93" xfId="1" applyFont="1" applyFill="1" applyBorder="1" applyAlignment="1">
      <alignment horizontal="center" vertical="center"/>
    </xf>
    <xf numFmtId="41" fontId="23" fillId="3" borderId="35" xfId="1" applyFont="1" applyFill="1" applyBorder="1" applyAlignment="1">
      <alignment horizontal="center" vertical="center"/>
    </xf>
    <xf numFmtId="41" fontId="23" fillId="3" borderId="84" xfId="1" applyFont="1" applyFill="1" applyBorder="1" applyAlignment="1">
      <alignment horizontal="center" vertical="center"/>
    </xf>
    <xf numFmtId="41" fontId="23" fillId="3" borderId="105" xfId="1" applyFont="1" applyFill="1" applyBorder="1" applyAlignment="1">
      <alignment horizontal="center" vertical="center"/>
    </xf>
    <xf numFmtId="41" fontId="23" fillId="3" borderId="66" xfId="1" applyFont="1" applyFill="1" applyBorder="1" applyAlignment="1">
      <alignment horizontal="center" vertical="center"/>
    </xf>
    <xf numFmtId="41" fontId="23" fillId="3" borderId="92" xfId="1" applyFont="1" applyFill="1" applyBorder="1" applyAlignment="1">
      <alignment horizontal="center" vertical="center"/>
    </xf>
    <xf numFmtId="41" fontId="23" fillId="3" borderId="81" xfId="1" applyFont="1" applyFill="1" applyBorder="1" applyAlignment="1">
      <alignment horizontal="center" vertical="center"/>
    </xf>
    <xf numFmtId="41" fontId="23" fillId="10" borderId="76" xfId="1" applyFont="1" applyFill="1" applyBorder="1" applyAlignment="1">
      <alignment horizontal="center" vertical="center"/>
    </xf>
    <xf numFmtId="41" fontId="23" fillId="3" borderId="25" xfId="1" applyFont="1" applyFill="1" applyBorder="1" applyAlignment="1">
      <alignment horizontal="center" vertical="center"/>
    </xf>
    <xf numFmtId="41" fontId="23" fillId="3" borderId="50" xfId="1" applyFont="1" applyFill="1" applyBorder="1" applyAlignment="1">
      <alignment horizontal="center"/>
    </xf>
    <xf numFmtId="41" fontId="23" fillId="3" borderId="26" xfId="1" applyFont="1" applyFill="1" applyBorder="1" applyAlignment="1">
      <alignment horizontal="center"/>
    </xf>
    <xf numFmtId="41" fontId="23" fillId="11" borderId="76" xfId="1" applyFont="1" applyFill="1" applyBorder="1" applyAlignment="1">
      <alignment horizontal="center" vertical="center"/>
    </xf>
    <xf numFmtId="41" fontId="23" fillId="9" borderId="50" xfId="1" applyFont="1" applyFill="1" applyBorder="1" applyAlignment="1">
      <alignment horizontal="center"/>
    </xf>
    <xf numFmtId="41" fontId="1" fillId="3" borderId="0" xfId="1" applyFont="1" applyFill="1" applyAlignment="1"/>
    <xf numFmtId="41" fontId="7" fillId="3" borderId="40" xfId="1" applyFont="1" applyFill="1" applyBorder="1" applyAlignment="1">
      <alignment vertical="center"/>
    </xf>
    <xf numFmtId="41" fontId="7" fillId="3" borderId="46" xfId="1" applyFont="1" applyFill="1" applyBorder="1" applyAlignment="1">
      <alignment vertical="center"/>
    </xf>
    <xf numFmtId="41" fontId="7" fillId="3" borderId="16" xfId="1" applyFont="1" applyFill="1" applyBorder="1" applyAlignment="1">
      <alignment vertical="center"/>
    </xf>
    <xf numFmtId="41" fontId="7" fillId="3" borderId="6" xfId="1" applyFont="1" applyFill="1" applyBorder="1" applyAlignment="1">
      <alignment vertical="center"/>
    </xf>
    <xf numFmtId="41" fontId="7" fillId="3" borderId="0" xfId="1" applyFont="1" applyFill="1" applyBorder="1" applyAlignment="1">
      <alignment horizontal="center" vertical="center" wrapText="1"/>
    </xf>
    <xf numFmtId="41" fontId="41" fillId="0" borderId="36" xfId="1" applyFont="1" applyBorder="1" applyAlignment="1">
      <alignment horizontal="center" vertical="center"/>
    </xf>
    <xf numFmtId="41" fontId="7" fillId="0" borderId="50" xfId="1" applyFont="1" applyFill="1" applyBorder="1" applyAlignment="1">
      <alignment vertical="center" wrapText="1"/>
    </xf>
    <xf numFmtId="41" fontId="42" fillId="7" borderId="39" xfId="1" applyFont="1" applyFill="1" applyBorder="1" applyAlignment="1">
      <alignment horizontal="left" vertical="center" shrinkToFit="1"/>
    </xf>
    <xf numFmtId="41" fontId="42" fillId="7" borderId="132" xfId="1" applyFont="1" applyFill="1" applyBorder="1" applyAlignment="1">
      <alignment horizontal="left" vertical="center" shrinkToFit="1"/>
    </xf>
    <xf numFmtId="0" fontId="43" fillId="0" borderId="0" xfId="2" applyFont="1">
      <alignment vertical="center"/>
    </xf>
    <xf numFmtId="0" fontId="44" fillId="0" borderId="0" xfId="2" applyFont="1" applyAlignment="1">
      <alignment horizontal="center" vertical="center"/>
    </xf>
    <xf numFmtId="41" fontId="44" fillId="0" borderId="0" xfId="1" applyFont="1" applyAlignment="1">
      <alignment horizontal="center" vertical="center"/>
    </xf>
    <xf numFmtId="41" fontId="43" fillId="0" borderId="0" xfId="1" applyFont="1">
      <alignment vertical="center"/>
    </xf>
    <xf numFmtId="41" fontId="42" fillId="4" borderId="129" xfId="1" applyFont="1" applyFill="1" applyBorder="1" applyAlignment="1">
      <alignment horizontal="center" vertical="center" shrinkToFit="1"/>
    </xf>
    <xf numFmtId="41" fontId="42" fillId="4" borderId="129" xfId="1" applyFont="1" applyFill="1" applyBorder="1" applyAlignment="1">
      <alignment horizontal="left" vertical="center" indent="1" shrinkToFit="1"/>
    </xf>
    <xf numFmtId="41" fontId="42" fillId="5" borderId="39" xfId="1" applyFont="1" applyFill="1" applyBorder="1" applyAlignment="1">
      <alignment horizontal="center" vertical="center" shrinkToFit="1"/>
    </xf>
    <xf numFmtId="41" fontId="42" fillId="5" borderId="131" xfId="1" applyFont="1" applyFill="1" applyBorder="1" applyAlignment="1">
      <alignment horizontal="right" vertical="center" shrinkToFit="1"/>
    </xf>
    <xf numFmtId="41" fontId="42" fillId="5" borderId="131" xfId="1" applyFont="1" applyFill="1" applyBorder="1" applyAlignment="1">
      <alignment horizontal="left" vertical="center" indent="1" shrinkToFit="1"/>
    </xf>
    <xf numFmtId="0" fontId="42" fillId="0" borderId="38" xfId="2" applyFont="1" applyBorder="1" applyAlignment="1">
      <alignment horizontal="center" vertical="center" shrinkToFit="1"/>
    </xf>
    <xf numFmtId="41" fontId="42" fillId="6" borderId="39" xfId="1" applyFont="1" applyFill="1" applyBorder="1" applyAlignment="1">
      <alignment horizontal="center" vertical="center" shrinkToFit="1"/>
    </xf>
    <xf numFmtId="41" fontId="42" fillId="6" borderId="135" xfId="1" applyFont="1" applyFill="1" applyBorder="1" applyAlignment="1">
      <alignment horizontal="right" vertical="center" shrinkToFit="1"/>
    </xf>
    <xf numFmtId="0" fontId="42" fillId="0" borderId="133" xfId="2" applyFont="1" applyBorder="1" applyAlignment="1">
      <alignment vertical="center" shrinkToFit="1"/>
    </xf>
    <xf numFmtId="41" fontId="42" fillId="6" borderId="131" xfId="1" applyFont="1" applyFill="1" applyBorder="1" applyAlignment="1">
      <alignment horizontal="left" vertical="center" indent="1" shrinkToFit="1"/>
    </xf>
    <xf numFmtId="41" fontId="42" fillId="7" borderId="135" xfId="1" applyFont="1" applyFill="1" applyBorder="1" applyAlignment="1">
      <alignment horizontal="right" vertical="center" shrinkToFit="1"/>
    </xf>
    <xf numFmtId="41" fontId="42" fillId="7" borderId="132" xfId="1" applyFont="1" applyFill="1" applyBorder="1" applyAlignment="1">
      <alignment horizontal="right" vertical="center" shrinkToFit="1"/>
    </xf>
    <xf numFmtId="0" fontId="42" fillId="0" borderId="131" xfId="2" applyFont="1" applyBorder="1" applyAlignment="1">
      <alignment vertical="center" shrinkToFit="1"/>
    </xf>
    <xf numFmtId="0" fontId="42" fillId="7" borderId="131" xfId="2" applyFont="1" applyFill="1" applyBorder="1" applyAlignment="1">
      <alignment horizontal="left" vertical="center" indent="1" shrinkToFit="1"/>
    </xf>
    <xf numFmtId="41" fontId="42" fillId="7" borderId="131" xfId="1" applyFont="1" applyFill="1" applyBorder="1" applyAlignment="1">
      <alignment horizontal="left" vertical="center" indent="1" shrinkToFit="1"/>
    </xf>
    <xf numFmtId="41" fontId="42" fillId="5" borderId="135" xfId="1" applyFont="1" applyFill="1" applyBorder="1" applyAlignment="1">
      <alignment horizontal="right" vertical="center" shrinkToFit="1"/>
    </xf>
    <xf numFmtId="0" fontId="42" fillId="0" borderId="136" xfId="2" applyFont="1" applyBorder="1" applyAlignment="1">
      <alignment horizontal="left" vertical="center" shrinkToFit="1"/>
    </xf>
    <xf numFmtId="41" fontId="42" fillId="6" borderId="131" xfId="1" applyFont="1" applyFill="1" applyBorder="1" applyAlignment="1">
      <alignment horizontal="right" vertical="center" shrinkToFit="1"/>
    </xf>
    <xf numFmtId="0" fontId="42" fillId="0" borderId="131" xfId="2" applyFont="1" applyBorder="1" applyAlignment="1">
      <alignment horizontal="left" vertical="center" shrinkToFit="1"/>
    </xf>
    <xf numFmtId="0" fontId="42" fillId="7" borderId="131" xfId="2" applyFont="1" applyFill="1" applyBorder="1" applyAlignment="1">
      <alignment horizontal="left" vertical="center" shrinkToFit="1"/>
    </xf>
    <xf numFmtId="41" fontId="42" fillId="7" borderId="131" xfId="1" applyFont="1" applyFill="1" applyBorder="1" applyAlignment="1">
      <alignment horizontal="left" vertical="center" shrinkToFit="1"/>
    </xf>
    <xf numFmtId="0" fontId="42" fillId="3" borderId="131" xfId="2" applyFont="1" applyFill="1" applyBorder="1" applyAlignment="1">
      <alignment horizontal="center" vertical="center" shrinkToFit="1"/>
    </xf>
    <xf numFmtId="41" fontId="42" fillId="7" borderId="131" xfId="1" applyFont="1" applyFill="1" applyBorder="1" applyAlignment="1">
      <alignment horizontal="center" vertical="center" shrinkToFit="1"/>
    </xf>
    <xf numFmtId="0" fontId="46" fillId="0" borderId="0" xfId="2" applyFont="1">
      <alignment vertical="center"/>
    </xf>
    <xf numFmtId="0" fontId="42" fillId="7" borderId="131" xfId="2" applyFont="1" applyFill="1" applyBorder="1">
      <alignment vertical="center"/>
    </xf>
    <xf numFmtId="0" fontId="42" fillId="0" borderId="136" xfId="2" applyFont="1" applyBorder="1" applyAlignment="1">
      <alignment horizontal="center" vertical="center" shrinkToFit="1"/>
    </xf>
    <xf numFmtId="0" fontId="42" fillId="0" borderId="131" xfId="2" applyFont="1" applyBorder="1" applyAlignment="1">
      <alignment horizontal="center" vertical="center" shrinkToFit="1"/>
    </xf>
    <xf numFmtId="41" fontId="42" fillId="5" borderId="45" xfId="1" applyFont="1" applyFill="1" applyBorder="1" applyAlignment="1">
      <alignment horizontal="center" vertical="center" shrinkToFit="1"/>
    </xf>
    <xf numFmtId="41" fontId="42" fillId="6" borderId="131" xfId="1" applyFont="1" applyFill="1" applyBorder="1" applyAlignment="1">
      <alignment horizontal="center" vertical="center" shrinkToFit="1"/>
    </xf>
    <xf numFmtId="0" fontId="42" fillId="0" borderId="133" xfId="2" applyFont="1" applyBorder="1" applyAlignment="1">
      <alignment vertical="center" wrapText="1" shrinkToFit="1"/>
    </xf>
    <xf numFmtId="0" fontId="42" fillId="0" borderId="131" xfId="2" applyFont="1" applyBorder="1" applyAlignment="1">
      <alignment vertical="center" wrapText="1" shrinkToFit="1"/>
    </xf>
    <xf numFmtId="0" fontId="42" fillId="3" borderId="136" xfId="2" applyFont="1" applyFill="1" applyBorder="1" applyAlignment="1">
      <alignment horizontal="left" vertical="center" shrinkToFit="1"/>
    </xf>
    <xf numFmtId="41" fontId="42" fillId="6" borderId="132" xfId="1" applyFont="1" applyFill="1" applyBorder="1" applyAlignment="1">
      <alignment horizontal="left" vertical="center" shrinkToFit="1"/>
    </xf>
    <xf numFmtId="0" fontId="42" fillId="3" borderId="131" xfId="2" applyFont="1" applyFill="1" applyBorder="1" applyAlignment="1">
      <alignment horizontal="left" vertical="center" shrinkToFit="1"/>
    </xf>
    <xf numFmtId="41" fontId="42" fillId="5" borderId="131" xfId="1" applyFont="1" applyFill="1" applyBorder="1" applyAlignment="1">
      <alignment horizontal="center" vertical="center" shrinkToFit="1"/>
    </xf>
    <xf numFmtId="0" fontId="42" fillId="3" borderId="136" xfId="2" applyFont="1" applyFill="1" applyBorder="1" applyAlignment="1">
      <alignment horizontal="center" vertical="center" shrinkToFit="1"/>
    </xf>
    <xf numFmtId="41" fontId="42" fillId="6" borderId="132" xfId="1" applyFont="1" applyFill="1" applyBorder="1" applyAlignment="1">
      <alignment horizontal="center" vertical="center" shrinkToFit="1"/>
    </xf>
    <xf numFmtId="0" fontId="42" fillId="7" borderId="131" xfId="2" applyFont="1" applyFill="1" applyBorder="1" applyAlignment="1">
      <alignment horizontal="center" vertical="center" shrinkToFit="1"/>
    </xf>
    <xf numFmtId="41" fontId="42" fillId="7" borderId="132" xfId="1" applyFont="1" applyFill="1" applyBorder="1" applyAlignment="1">
      <alignment horizontal="center" vertical="center" shrinkToFit="1"/>
    </xf>
    <xf numFmtId="41" fontId="42" fillId="3" borderId="132" xfId="1" applyFont="1" applyFill="1" applyBorder="1" applyAlignment="1">
      <alignment horizontal="center" vertical="center" shrinkToFit="1"/>
    </xf>
    <xf numFmtId="41" fontId="42" fillId="3" borderId="116" xfId="1" applyFont="1" applyFill="1" applyBorder="1" applyAlignment="1">
      <alignment horizontal="right" vertical="center" shrinkToFit="1"/>
    </xf>
    <xf numFmtId="0" fontId="42" fillId="0" borderId="118" xfId="2" applyFont="1" applyBorder="1" applyAlignment="1">
      <alignment vertical="center" shrinkToFit="1"/>
    </xf>
    <xf numFmtId="3" fontId="42" fillId="7" borderId="115" xfId="2" applyNumberFormat="1" applyFont="1" applyFill="1" applyBorder="1" applyAlignment="1">
      <alignment horizontal="left" vertical="center" indent="1" shrinkToFit="1"/>
    </xf>
    <xf numFmtId="41" fontId="42" fillId="7" borderId="115" xfId="1" applyFont="1" applyFill="1" applyBorder="1" applyAlignment="1">
      <alignment horizontal="left" vertical="center" indent="1" shrinkToFit="1"/>
    </xf>
    <xf numFmtId="41" fontId="42" fillId="0" borderId="116" xfId="1" applyFont="1" applyBorder="1" applyAlignment="1">
      <alignment horizontal="right" vertical="center" shrinkToFit="1"/>
    </xf>
    <xf numFmtId="0" fontId="42" fillId="0" borderId="138" xfId="2" applyFont="1" applyBorder="1" applyAlignment="1">
      <alignment horizontal="center" vertical="center" shrinkToFit="1"/>
    </xf>
    <xf numFmtId="0" fontId="42" fillId="0" borderId="139" xfId="2" applyFont="1" applyBorder="1" applyAlignment="1">
      <alignment horizontal="center" vertical="center" shrinkToFit="1"/>
    </xf>
    <xf numFmtId="41" fontId="42" fillId="0" borderId="139" xfId="1" applyFont="1" applyFill="1" applyBorder="1" applyAlignment="1">
      <alignment horizontal="right" vertical="center" shrinkToFit="1"/>
    </xf>
    <xf numFmtId="41" fontId="42" fillId="0" borderId="140" xfId="1" applyFont="1" applyFill="1" applyBorder="1" applyAlignment="1">
      <alignment horizontal="right" vertical="center" shrinkToFit="1"/>
    </xf>
    <xf numFmtId="0" fontId="42" fillId="0" borderId="142" xfId="2" applyFont="1" applyBorder="1" applyAlignment="1">
      <alignment horizontal="center" vertical="center" shrinkToFit="1"/>
    </xf>
    <xf numFmtId="41" fontId="42" fillId="0" borderId="143" xfId="1" applyFont="1" applyFill="1" applyBorder="1" applyAlignment="1">
      <alignment horizontal="center" vertical="center" shrinkToFit="1"/>
    </xf>
    <xf numFmtId="41" fontId="46" fillId="0" borderId="0" xfId="1" applyFont="1">
      <alignment vertical="center"/>
    </xf>
    <xf numFmtId="41" fontId="43" fillId="0" borderId="0" xfId="2" applyNumberFormat="1" applyFont="1">
      <alignment vertical="center"/>
    </xf>
    <xf numFmtId="41" fontId="47" fillId="0" borderId="17" xfId="1" applyFont="1" applyBorder="1" applyAlignment="1">
      <alignment horizontal="left" vertical="center"/>
    </xf>
    <xf numFmtId="0" fontId="43" fillId="0" borderId="17" xfId="2" applyFont="1" applyBorder="1">
      <alignment vertical="center"/>
    </xf>
    <xf numFmtId="41" fontId="43" fillId="0" borderId="17" xfId="1" applyFont="1" applyBorder="1">
      <alignment vertical="center"/>
    </xf>
    <xf numFmtId="41" fontId="43" fillId="0" borderId="0" xfId="1" applyFont="1" applyBorder="1">
      <alignment vertical="center"/>
    </xf>
    <xf numFmtId="41" fontId="33" fillId="3" borderId="149" xfId="1" applyFont="1" applyFill="1" applyBorder="1" applyAlignment="1">
      <alignment horizontal="center" vertical="center" shrinkToFit="1"/>
    </xf>
    <xf numFmtId="41" fontId="33" fillId="3" borderId="97" xfId="2" applyNumberFormat="1" applyFont="1" applyFill="1" applyBorder="1" applyAlignment="1">
      <alignment horizontal="center" vertical="center" shrinkToFit="1"/>
    </xf>
    <xf numFmtId="41" fontId="33" fillId="0" borderId="8" xfId="1" applyFont="1" applyBorder="1">
      <alignment vertical="center"/>
    </xf>
    <xf numFmtId="41" fontId="7" fillId="3" borderId="108" xfId="1" applyFont="1" applyFill="1" applyBorder="1" applyAlignment="1">
      <alignment vertical="center" wrapText="1"/>
    </xf>
    <xf numFmtId="41" fontId="24" fillId="3" borderId="20" xfId="1" applyFont="1" applyFill="1" applyBorder="1" applyAlignment="1">
      <alignment horizontal="left" vertical="center"/>
    </xf>
    <xf numFmtId="41" fontId="24" fillId="3" borderId="26" xfId="1" applyFont="1" applyFill="1" applyBorder="1" applyAlignment="1">
      <alignment horizontal="left" vertical="center"/>
    </xf>
    <xf numFmtId="41" fontId="23" fillId="0" borderId="25" xfId="1" applyFont="1" applyBorder="1" applyAlignment="1">
      <alignment horizontal="left" vertical="center"/>
    </xf>
    <xf numFmtId="41" fontId="23" fillId="3" borderId="25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21" fillId="0" borderId="19" xfId="1" applyFont="1" applyBorder="1" applyAlignment="1">
      <alignment horizontal="center" vertical="center"/>
    </xf>
    <xf numFmtId="41" fontId="0" fillId="3" borderId="0" xfId="1" applyFont="1" applyFill="1" applyAlignment="1"/>
    <xf numFmtId="41" fontId="0" fillId="3" borderId="0" xfId="1" applyFont="1" applyFill="1" applyBorder="1" applyAlignment="1"/>
    <xf numFmtId="41" fontId="33" fillId="3" borderId="9" xfId="1" applyFont="1" applyFill="1" applyBorder="1" applyAlignment="1">
      <alignment horizontal="center" vertical="center" shrinkToFit="1"/>
    </xf>
    <xf numFmtId="41" fontId="33" fillId="8" borderId="12" xfId="1" applyFont="1" applyFill="1" applyBorder="1" applyAlignment="1">
      <alignment horizontal="right" vertical="center" shrinkToFit="1"/>
    </xf>
    <xf numFmtId="41" fontId="33" fillId="3" borderId="91" xfId="1" applyFont="1" applyFill="1" applyBorder="1" applyAlignment="1">
      <alignment horizontal="right" vertical="center" shrinkToFit="1"/>
    </xf>
    <xf numFmtId="0" fontId="33" fillId="3" borderId="90" xfId="2" applyFont="1" applyFill="1" applyBorder="1" applyAlignment="1">
      <alignment horizontal="center" vertical="center" wrapText="1" shrinkToFit="1"/>
    </xf>
    <xf numFmtId="41" fontId="33" fillId="0" borderId="14" xfId="1" applyFont="1" applyBorder="1">
      <alignment vertical="center"/>
    </xf>
    <xf numFmtId="41" fontId="7" fillId="3" borderId="0" xfId="1" applyFont="1" applyFill="1" applyBorder="1" applyAlignment="1">
      <alignment vertical="center" wrapText="1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0" fontId="33" fillId="8" borderId="8" xfId="2" applyFont="1" applyFill="1" applyBorder="1" applyAlignment="1">
      <alignment horizontal="center" vertical="center" shrinkToFit="1"/>
    </xf>
    <xf numFmtId="0" fontId="33" fillId="3" borderId="8" xfId="2" applyFont="1" applyFill="1" applyBorder="1" applyAlignment="1">
      <alignment horizontal="center" vertical="center" shrinkToFit="1"/>
    </xf>
    <xf numFmtId="0" fontId="33" fillId="3" borderId="11" xfId="2" applyFont="1" applyFill="1" applyBorder="1" applyAlignment="1">
      <alignment horizontal="center" vertical="center" shrinkToFit="1"/>
    </xf>
    <xf numFmtId="41" fontId="33" fillId="3" borderId="11" xfId="1" applyFont="1" applyFill="1" applyBorder="1" applyAlignment="1">
      <alignment horizontal="center" vertical="center" shrinkToFit="1"/>
    </xf>
    <xf numFmtId="0" fontId="33" fillId="3" borderId="1" xfId="2" applyFont="1" applyFill="1" applyBorder="1" applyAlignment="1">
      <alignment horizontal="center" vertical="center" shrinkToFit="1"/>
    </xf>
    <xf numFmtId="41" fontId="33" fillId="3" borderId="1" xfId="1" applyFont="1" applyFill="1" applyBorder="1" applyAlignment="1">
      <alignment horizontal="center" vertical="center" shrinkToFit="1"/>
    </xf>
    <xf numFmtId="0" fontId="42" fillId="5" borderId="44" xfId="2" applyFont="1" applyFill="1" applyBorder="1" applyAlignment="1">
      <alignment horizontal="center" vertical="center" shrinkToFit="1"/>
    </xf>
    <xf numFmtId="0" fontId="42" fillId="5" borderId="45" xfId="2" applyFont="1" applyFill="1" applyBorder="1" applyAlignment="1">
      <alignment horizontal="center" vertical="center" shrinkToFit="1"/>
    </xf>
    <xf numFmtId="0" fontId="42" fillId="5" borderId="130" xfId="2" applyFont="1" applyFill="1" applyBorder="1" applyAlignment="1">
      <alignment horizontal="center" vertical="center" shrinkToFit="1"/>
    </xf>
    <xf numFmtId="0" fontId="42" fillId="6" borderId="131" xfId="2" applyFont="1" applyFill="1" applyBorder="1" applyAlignment="1">
      <alignment horizontal="center" vertical="center" shrinkToFit="1"/>
    </xf>
    <xf numFmtId="0" fontId="42" fillId="6" borderId="132" xfId="2" applyFont="1" applyFill="1" applyBorder="1" applyAlignment="1">
      <alignment horizontal="center" vertical="center" shrinkToFit="1"/>
    </xf>
    <xf numFmtId="0" fontId="42" fillId="6" borderId="130" xfId="2" applyFont="1" applyFill="1" applyBorder="1" applyAlignment="1">
      <alignment horizontal="center" vertical="center" shrinkToFit="1"/>
    </xf>
    <xf numFmtId="3" fontId="7" fillId="3" borderId="0" xfId="1" applyNumberFormat="1" applyFont="1" applyFill="1" applyBorder="1" applyAlignment="1">
      <alignment horizontal="center" vertical="center" wrapText="1"/>
    </xf>
    <xf numFmtId="41" fontId="1" fillId="3" borderId="0" xfId="1" applyFont="1" applyFill="1" applyAlignment="1">
      <alignment horizontal="center" vertical="center"/>
    </xf>
    <xf numFmtId="41" fontId="1" fillId="3" borderId="0" xfId="1" applyFont="1" applyFill="1" applyAlignment="1">
      <alignment vertical="center"/>
    </xf>
    <xf numFmtId="41" fontId="0" fillId="3" borderId="0" xfId="1" applyFont="1" applyFill="1" applyAlignment="1">
      <alignment vertical="center"/>
    </xf>
    <xf numFmtId="41" fontId="0" fillId="3" borderId="0" xfId="1" applyFont="1" applyFill="1" applyAlignment="1">
      <alignment horizontal="center" vertical="center"/>
    </xf>
    <xf numFmtId="0" fontId="42" fillId="0" borderId="198" xfId="2" applyFont="1" applyBorder="1" applyAlignment="1">
      <alignment vertical="center" wrapText="1" shrinkToFit="1"/>
    </xf>
    <xf numFmtId="0" fontId="42" fillId="0" borderId="0" xfId="2" applyFont="1" applyAlignment="1">
      <alignment vertical="center" wrapText="1" shrinkToFit="1"/>
    </xf>
    <xf numFmtId="0" fontId="42" fillId="0" borderId="199" xfId="2" applyFont="1" applyBorder="1" applyAlignment="1">
      <alignment vertical="center" wrapText="1" shrinkToFit="1"/>
    </xf>
    <xf numFmtId="0" fontId="42" fillId="0" borderId="124" xfId="2" applyFont="1" applyBorder="1" applyAlignment="1">
      <alignment vertical="center" wrapText="1" shrinkToFit="1"/>
    </xf>
    <xf numFmtId="41" fontId="7" fillId="3" borderId="0" xfId="1" quotePrefix="1" applyFont="1" applyFill="1" applyBorder="1" applyAlignment="1">
      <alignment horizontal="center" vertical="center" wrapText="1"/>
    </xf>
    <xf numFmtId="0" fontId="42" fillId="0" borderId="168" xfId="2" applyFont="1" applyBorder="1" applyAlignment="1">
      <alignment horizontal="center" vertical="center" shrinkToFit="1"/>
    </xf>
    <xf numFmtId="0" fontId="42" fillId="0" borderId="169" xfId="2" applyFont="1" applyBorder="1" applyAlignment="1">
      <alignment horizontal="center" vertical="center" shrinkToFit="1"/>
    </xf>
    <xf numFmtId="41" fontId="42" fillId="0" borderId="169" xfId="1" applyFont="1" applyFill="1" applyBorder="1" applyAlignment="1">
      <alignment horizontal="right" vertical="center" shrinkToFit="1"/>
    </xf>
    <xf numFmtId="41" fontId="42" fillId="0" borderId="207" xfId="1" applyFont="1" applyFill="1" applyBorder="1" applyAlignment="1">
      <alignment horizontal="right" vertical="center" shrinkToFit="1"/>
    </xf>
    <xf numFmtId="0" fontId="42" fillId="0" borderId="37" xfId="2" applyFont="1" applyBorder="1" applyAlignment="1">
      <alignment vertical="center" wrapText="1" shrinkToFit="1"/>
    </xf>
    <xf numFmtId="0" fontId="42" fillId="0" borderId="125" xfId="2" applyFont="1" applyBorder="1" applyAlignment="1">
      <alignment vertical="center" wrapText="1" shrinkToFit="1"/>
    </xf>
    <xf numFmtId="41" fontId="42" fillId="0" borderId="132" xfId="1" applyFont="1" applyFill="1" applyBorder="1" applyAlignment="1">
      <alignment horizontal="right" vertical="center" shrinkToFit="1"/>
    </xf>
    <xf numFmtId="0" fontId="46" fillId="0" borderId="1" xfId="2" applyFont="1" applyBorder="1">
      <alignment vertical="center"/>
    </xf>
    <xf numFmtId="176" fontId="46" fillId="0" borderId="1" xfId="1" applyNumberFormat="1" applyFont="1" applyBorder="1" applyAlignment="1">
      <alignment horizontal="center" vertical="center"/>
    </xf>
    <xf numFmtId="41" fontId="46" fillId="0" borderId="1" xfId="1" applyFont="1" applyBorder="1" applyAlignment="1">
      <alignment horizontal="center" vertical="center"/>
    </xf>
    <xf numFmtId="41" fontId="21" fillId="0" borderId="16" xfId="1" applyFont="1" applyBorder="1" applyAlignment="1">
      <alignment horizontal="right" vertical="center"/>
    </xf>
    <xf numFmtId="41" fontId="42" fillId="0" borderId="132" xfId="1" applyFont="1" applyFill="1" applyBorder="1" applyAlignment="1">
      <alignment horizontal="center" vertical="center" shrinkToFit="1"/>
    </xf>
    <xf numFmtId="41" fontId="0" fillId="12" borderId="0" xfId="1" applyFont="1" applyFill="1" applyAlignment="1"/>
    <xf numFmtId="0" fontId="33" fillId="3" borderId="86" xfId="2" applyFont="1" applyFill="1" applyBorder="1" applyAlignment="1">
      <alignment horizontal="center" vertical="center" shrinkToFit="1"/>
    </xf>
    <xf numFmtId="41" fontId="33" fillId="4" borderId="208" xfId="1" applyFont="1" applyFill="1" applyBorder="1" applyAlignment="1">
      <alignment vertical="center" shrinkToFit="1"/>
    </xf>
    <xf numFmtId="41" fontId="33" fillId="3" borderId="11" xfId="1" applyFont="1" applyFill="1" applyBorder="1" applyAlignment="1">
      <alignment horizontal="right" vertical="center" shrinkToFit="1"/>
    </xf>
    <xf numFmtId="41" fontId="33" fillId="3" borderId="1" xfId="1" applyFont="1" applyFill="1" applyBorder="1" applyAlignment="1">
      <alignment horizontal="right" vertical="center" shrinkToFit="1"/>
    </xf>
    <xf numFmtId="0" fontId="33" fillId="3" borderId="150" xfId="2" applyFont="1" applyFill="1" applyBorder="1" applyAlignment="1">
      <alignment horizontal="center" vertical="center" wrapText="1" shrinkToFit="1"/>
    </xf>
    <xf numFmtId="41" fontId="33" fillId="0" borderId="209" xfId="1" applyFont="1" applyBorder="1">
      <alignment vertical="center"/>
    </xf>
    <xf numFmtId="41" fontId="49" fillId="3" borderId="25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right" vertical="center"/>
    </xf>
    <xf numFmtId="41" fontId="49" fillId="3" borderId="17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center" vertical="center"/>
    </xf>
    <xf numFmtId="41" fontId="50" fillId="3" borderId="19" xfId="1" applyFont="1" applyFill="1" applyBorder="1" applyAlignment="1">
      <alignment horizontal="center" vertical="center"/>
    </xf>
    <xf numFmtId="41" fontId="49" fillId="3" borderId="85" xfId="1" applyFont="1" applyFill="1" applyBorder="1" applyAlignment="1"/>
    <xf numFmtId="41" fontId="49" fillId="3" borderId="86" xfId="1" applyFont="1" applyFill="1" applyBorder="1" applyAlignment="1">
      <alignment horizontal="right"/>
    </xf>
    <xf numFmtId="41" fontId="49" fillId="3" borderId="86" xfId="1" applyFont="1" applyFill="1" applyBorder="1" applyAlignment="1"/>
    <xf numFmtId="41" fontId="49" fillId="3" borderId="86" xfId="1" applyFont="1" applyFill="1" applyBorder="1" applyAlignment="1">
      <alignment horizontal="center"/>
    </xf>
    <xf numFmtId="41" fontId="49" fillId="3" borderId="84" xfId="1" applyFont="1" applyFill="1" applyBorder="1" applyAlignment="1">
      <alignment horizontal="center"/>
    </xf>
    <xf numFmtId="41" fontId="50" fillId="3" borderId="35" xfId="1" applyFont="1" applyFill="1" applyBorder="1" applyAlignment="1">
      <alignment horizontal="center" vertical="center"/>
    </xf>
    <xf numFmtId="41" fontId="49" fillId="3" borderId="26" xfId="1" applyFont="1" applyFill="1" applyBorder="1" applyAlignment="1"/>
    <xf numFmtId="41" fontId="49" fillId="3" borderId="1" xfId="1" applyFont="1" applyFill="1" applyBorder="1" applyAlignment="1">
      <alignment horizontal="right"/>
    </xf>
    <xf numFmtId="41" fontId="49" fillId="3" borderId="1" xfId="1" applyFont="1" applyFill="1" applyBorder="1" applyAlignment="1"/>
    <xf numFmtId="41" fontId="49" fillId="3" borderId="1" xfId="1" applyFont="1" applyFill="1" applyBorder="1" applyAlignment="1">
      <alignment horizontal="center"/>
    </xf>
    <xf numFmtId="41" fontId="50" fillId="3" borderId="66" xfId="1" applyFont="1" applyFill="1" applyBorder="1" applyAlignment="1">
      <alignment vertical="center"/>
    </xf>
    <xf numFmtId="41" fontId="50" fillId="3" borderId="25" xfId="1" applyFont="1" applyFill="1" applyBorder="1" applyAlignment="1">
      <alignment horizontal="left" vertical="center"/>
    </xf>
    <xf numFmtId="41" fontId="50" fillId="3" borderId="34" xfId="1" applyFont="1" applyFill="1" applyBorder="1" applyAlignment="1"/>
    <xf numFmtId="41" fontId="50" fillId="3" borderId="25" xfId="1" applyFont="1" applyFill="1" applyBorder="1" applyAlignment="1">
      <alignment vertical="center"/>
    </xf>
    <xf numFmtId="41" fontId="50" fillId="3" borderId="17" xfId="1" applyFont="1" applyFill="1" applyBorder="1" applyAlignment="1">
      <alignment horizontal="right" vertical="center"/>
    </xf>
    <xf numFmtId="41" fontId="50" fillId="3" borderId="17" xfId="1" applyFont="1" applyFill="1" applyBorder="1" applyAlignment="1">
      <alignment vertical="center"/>
    </xf>
    <xf numFmtId="41" fontId="50" fillId="3" borderId="17" xfId="1" applyFont="1" applyFill="1" applyBorder="1" applyAlignment="1">
      <alignment horizontal="center" vertical="center"/>
    </xf>
    <xf numFmtId="41" fontId="50" fillId="3" borderId="31" xfId="1" applyFont="1" applyFill="1" applyBorder="1" applyAlignment="1">
      <alignment horizontal="center" vertical="center"/>
    </xf>
    <xf numFmtId="41" fontId="50" fillId="3" borderId="34" xfId="1" applyFont="1" applyFill="1" applyBorder="1" applyAlignment="1">
      <alignment vertical="center"/>
    </xf>
    <xf numFmtId="41" fontId="49" fillId="3" borderId="160" xfId="1" applyFont="1" applyFill="1" applyBorder="1" applyAlignment="1">
      <alignment horizontal="left" vertical="center" wrapText="1"/>
    </xf>
    <xf numFmtId="41" fontId="49" fillId="3" borderId="135" xfId="1" applyFont="1" applyFill="1" applyBorder="1" applyAlignment="1">
      <alignment horizontal="right" vertical="center" wrapText="1"/>
    </xf>
    <xf numFmtId="41" fontId="49" fillId="3" borderId="135" xfId="1" applyFont="1" applyFill="1" applyBorder="1" applyAlignment="1">
      <alignment vertical="center" wrapText="1"/>
    </xf>
    <xf numFmtId="41" fontId="49" fillId="3" borderId="135" xfId="1" applyFont="1" applyFill="1" applyBorder="1" applyAlignment="1">
      <alignment horizontal="center" vertical="center" wrapText="1"/>
    </xf>
    <xf numFmtId="176" fontId="49" fillId="3" borderId="191" xfId="0" applyNumberFormat="1" applyFont="1" applyFill="1" applyBorder="1" applyAlignment="1">
      <alignment vertical="center"/>
    </xf>
    <xf numFmtId="41" fontId="49" fillId="3" borderId="115" xfId="1" applyFont="1" applyFill="1" applyBorder="1" applyAlignment="1">
      <alignment horizontal="right" vertical="center" wrapText="1"/>
    </xf>
    <xf numFmtId="41" fontId="49" fillId="3" borderId="115" xfId="1" applyFont="1" applyFill="1" applyBorder="1" applyAlignment="1">
      <alignment vertical="center" wrapText="1"/>
    </xf>
    <xf numFmtId="41" fontId="49" fillId="3" borderId="115" xfId="1" applyFont="1" applyFill="1" applyBorder="1" applyAlignment="1">
      <alignment horizontal="center" vertical="center" wrapText="1"/>
    </xf>
    <xf numFmtId="176" fontId="49" fillId="3" borderId="157" xfId="0" applyNumberFormat="1" applyFont="1" applyFill="1" applyBorder="1" applyAlignment="1">
      <alignment vertical="center"/>
    </xf>
    <xf numFmtId="41" fontId="49" fillId="3" borderId="172" xfId="1" applyFont="1" applyFill="1" applyBorder="1" applyAlignment="1">
      <alignment horizontal="left" vertical="center" wrapText="1"/>
    </xf>
    <xf numFmtId="41" fontId="49" fillId="3" borderId="173" xfId="1" applyFont="1" applyFill="1" applyBorder="1" applyAlignment="1">
      <alignment horizontal="right" vertical="center" wrapText="1"/>
    </xf>
    <xf numFmtId="41" fontId="49" fillId="3" borderId="173" xfId="1" applyFont="1" applyFill="1" applyBorder="1" applyAlignment="1">
      <alignment vertical="center" wrapText="1"/>
    </xf>
    <xf numFmtId="41" fontId="49" fillId="3" borderId="173" xfId="1" applyFont="1" applyFill="1" applyBorder="1" applyAlignment="1">
      <alignment horizontal="center" vertical="center" wrapText="1"/>
    </xf>
    <xf numFmtId="176" fontId="49" fillId="3" borderId="179" xfId="0" applyNumberFormat="1" applyFont="1" applyFill="1" applyBorder="1" applyAlignment="1">
      <alignment vertical="center"/>
    </xf>
    <xf numFmtId="41" fontId="49" fillId="3" borderId="175" xfId="1" applyFont="1" applyFill="1" applyBorder="1" applyAlignment="1">
      <alignment horizontal="left" vertical="center" wrapText="1"/>
    </xf>
    <xf numFmtId="41" fontId="49" fillId="3" borderId="176" xfId="1" applyFont="1" applyFill="1" applyBorder="1" applyAlignment="1">
      <alignment horizontal="right" vertical="center" wrapText="1"/>
    </xf>
    <xf numFmtId="41" fontId="49" fillId="3" borderId="176" xfId="1" applyFont="1" applyFill="1" applyBorder="1" applyAlignment="1">
      <alignment vertical="center" wrapText="1"/>
    </xf>
    <xf numFmtId="41" fontId="49" fillId="3" borderId="176" xfId="1" applyFont="1" applyFill="1" applyBorder="1" applyAlignment="1">
      <alignment horizontal="center" vertical="center" wrapText="1"/>
    </xf>
    <xf numFmtId="176" fontId="49" fillId="3" borderId="188" xfId="0" applyNumberFormat="1" applyFont="1" applyFill="1" applyBorder="1" applyAlignment="1">
      <alignment vertical="center"/>
    </xf>
    <xf numFmtId="176" fontId="49" fillId="3" borderId="146" xfId="0" applyNumberFormat="1" applyFont="1" applyFill="1" applyBorder="1" applyAlignment="1">
      <alignment vertical="center"/>
    </xf>
    <xf numFmtId="41" fontId="49" fillId="3" borderId="184" xfId="1" applyFont="1" applyFill="1" applyBorder="1" applyAlignment="1">
      <alignment horizontal="left" vertical="center" wrapText="1"/>
    </xf>
    <xf numFmtId="41" fontId="49" fillId="3" borderId="185" xfId="1" applyFont="1" applyFill="1" applyBorder="1" applyAlignment="1">
      <alignment horizontal="right" vertical="center" wrapText="1"/>
    </xf>
    <xf numFmtId="41" fontId="49" fillId="3" borderId="185" xfId="1" applyFont="1" applyFill="1" applyBorder="1" applyAlignment="1">
      <alignment vertical="center" wrapText="1"/>
    </xf>
    <xf numFmtId="41" fontId="49" fillId="3" borderId="185" xfId="1" applyFont="1" applyFill="1" applyBorder="1" applyAlignment="1">
      <alignment horizontal="center" vertical="center" wrapText="1"/>
    </xf>
    <xf numFmtId="0" fontId="49" fillId="3" borderId="197" xfId="3" applyNumberFormat="1" applyFont="1" applyFill="1" applyBorder="1" applyAlignment="1">
      <alignment horizontal="center" vertical="center" wrapText="1"/>
    </xf>
    <xf numFmtId="176" fontId="49" fillId="3" borderId="171" xfId="0" applyNumberFormat="1" applyFont="1" applyFill="1" applyBorder="1" applyAlignment="1">
      <alignment vertical="center"/>
    </xf>
    <xf numFmtId="41" fontId="49" fillId="3" borderId="164" xfId="1" applyFont="1" applyFill="1" applyBorder="1" applyAlignment="1">
      <alignment horizontal="left" vertical="center"/>
    </xf>
    <xf numFmtId="41" fontId="49" fillId="3" borderId="137" xfId="1" applyFont="1" applyFill="1" applyBorder="1" applyAlignment="1">
      <alignment horizontal="right" vertical="center" wrapText="1"/>
    </xf>
    <xf numFmtId="41" fontId="49" fillId="3" borderId="137" xfId="1" applyFont="1" applyFill="1" applyBorder="1" applyAlignment="1">
      <alignment vertical="center"/>
    </xf>
    <xf numFmtId="41" fontId="49" fillId="3" borderId="137" xfId="1" applyFont="1" applyFill="1" applyBorder="1" applyAlignment="1">
      <alignment horizontal="center" vertical="center" wrapText="1"/>
    </xf>
    <xf numFmtId="0" fontId="49" fillId="3" borderId="195" xfId="3" applyNumberFormat="1" applyFont="1" applyFill="1" applyBorder="1" applyAlignment="1">
      <alignment horizontal="center" vertical="center" wrapText="1"/>
    </xf>
    <xf numFmtId="176" fontId="49" fillId="3" borderId="36" xfId="0" applyNumberFormat="1" applyFont="1" applyFill="1" applyBorder="1" applyAlignment="1">
      <alignment vertical="center"/>
    </xf>
    <xf numFmtId="41" fontId="49" fillId="3" borderId="184" xfId="1" applyFont="1" applyFill="1" applyBorder="1" applyAlignment="1">
      <alignment vertical="center" wrapText="1"/>
    </xf>
    <xf numFmtId="41" fontId="49" fillId="3" borderId="168" xfId="1" applyFont="1" applyFill="1" applyBorder="1" applyAlignment="1">
      <alignment vertical="center" wrapText="1"/>
    </xf>
    <xf numFmtId="41" fontId="49" fillId="3" borderId="169" xfId="1" applyFont="1" applyFill="1" applyBorder="1" applyAlignment="1">
      <alignment horizontal="right" vertical="center" wrapText="1"/>
    </xf>
    <xf numFmtId="41" fontId="49" fillId="3" borderId="169" xfId="1" applyFont="1" applyFill="1" applyBorder="1" applyAlignment="1">
      <alignment vertical="center" wrapText="1"/>
    </xf>
    <xf numFmtId="41" fontId="49" fillId="3" borderId="169" xfId="1" applyFont="1" applyFill="1" applyBorder="1" applyAlignment="1">
      <alignment horizontal="center" vertical="center" wrapText="1"/>
    </xf>
    <xf numFmtId="0" fontId="49" fillId="3" borderId="140" xfId="3" applyNumberFormat="1" applyFont="1" applyFill="1" applyBorder="1" applyAlignment="1">
      <alignment horizontal="center" vertical="center" wrapText="1"/>
    </xf>
    <xf numFmtId="176" fontId="49" fillId="3" borderId="81" xfId="0" applyNumberFormat="1" applyFont="1" applyFill="1" applyBorder="1" applyAlignment="1">
      <alignment vertical="center"/>
    </xf>
    <xf numFmtId="41" fontId="50" fillId="3" borderId="25" xfId="1" applyFont="1" applyFill="1" applyBorder="1" applyAlignment="1">
      <alignment vertical="center" wrapText="1"/>
    </xf>
    <xf numFmtId="41" fontId="50" fillId="3" borderId="17" xfId="1" applyFont="1" applyFill="1" applyBorder="1" applyAlignment="1">
      <alignment horizontal="right" vertical="center" wrapText="1"/>
    </xf>
    <xf numFmtId="41" fontId="50" fillId="3" borderId="17" xfId="1" applyFont="1" applyFill="1" applyBorder="1" applyAlignment="1">
      <alignment vertical="center" wrapText="1"/>
    </xf>
    <xf numFmtId="41" fontId="50" fillId="3" borderId="31" xfId="1" applyFont="1" applyFill="1" applyBorder="1" applyAlignment="1">
      <alignment vertical="center" wrapText="1"/>
    </xf>
    <xf numFmtId="41" fontId="50" fillId="3" borderId="26" xfId="1" applyFont="1" applyFill="1" applyBorder="1" applyAlignment="1">
      <alignment vertical="center"/>
    </xf>
    <xf numFmtId="41" fontId="50" fillId="3" borderId="1" xfId="1" applyFont="1" applyFill="1" applyBorder="1" applyAlignment="1">
      <alignment horizontal="right" vertical="center"/>
    </xf>
    <xf numFmtId="41" fontId="50" fillId="3" borderId="1" xfId="1" applyFont="1" applyFill="1" applyBorder="1" applyAlignment="1">
      <alignment vertical="center"/>
    </xf>
    <xf numFmtId="41" fontId="50" fillId="3" borderId="1" xfId="1" applyFont="1" applyFill="1" applyBorder="1" applyAlignment="1">
      <alignment horizontal="center" vertical="center"/>
    </xf>
    <xf numFmtId="41" fontId="50" fillId="3" borderId="16" xfId="1" applyFont="1" applyFill="1" applyBorder="1" applyAlignment="1">
      <alignment horizontal="center" vertical="center"/>
    </xf>
    <xf numFmtId="41" fontId="50" fillId="3" borderId="30" xfId="1" applyFont="1" applyFill="1" applyBorder="1" applyAlignment="1">
      <alignment vertical="center"/>
    </xf>
    <xf numFmtId="41" fontId="49" fillId="3" borderId="200" xfId="1" applyFont="1" applyFill="1" applyBorder="1" applyAlignment="1">
      <alignment vertical="center" wrapText="1"/>
    </xf>
    <xf numFmtId="41" fontId="49" fillId="3" borderId="201" xfId="1" applyFont="1" applyFill="1" applyBorder="1" applyAlignment="1">
      <alignment horizontal="center" vertical="center"/>
    </xf>
    <xf numFmtId="41" fontId="49" fillId="3" borderId="201" xfId="1" applyFont="1" applyFill="1" applyBorder="1" applyAlignment="1">
      <alignment vertical="center" wrapText="1"/>
    </xf>
    <xf numFmtId="41" fontId="49" fillId="3" borderId="201" xfId="1" applyFont="1" applyFill="1" applyBorder="1" applyAlignment="1">
      <alignment horizontal="center" vertical="center" wrapText="1"/>
    </xf>
    <xf numFmtId="41" fontId="49" fillId="3" borderId="202" xfId="1" applyFont="1" applyFill="1" applyBorder="1" applyAlignment="1">
      <alignment horizontal="center" vertical="center"/>
    </xf>
    <xf numFmtId="176" fontId="49" fillId="3" borderId="35" xfId="0" applyNumberFormat="1" applyFont="1" applyFill="1" applyBorder="1" applyAlignment="1">
      <alignment vertical="center"/>
    </xf>
    <xf numFmtId="41" fontId="49" fillId="3" borderId="185" xfId="1" applyFont="1" applyFill="1" applyBorder="1" applyAlignment="1">
      <alignment horizontal="center" vertical="center"/>
    </xf>
    <xf numFmtId="41" fontId="49" fillId="3" borderId="186" xfId="1" applyFont="1" applyFill="1" applyBorder="1" applyAlignment="1">
      <alignment horizontal="center" vertical="center"/>
    </xf>
    <xf numFmtId="41" fontId="49" fillId="3" borderId="184" xfId="1" applyFont="1" applyFill="1" applyBorder="1" applyAlignment="1">
      <alignment horizontal="left" vertical="center"/>
    </xf>
    <xf numFmtId="41" fontId="49" fillId="3" borderId="182" xfId="1" applyFont="1" applyFill="1" applyBorder="1" applyAlignment="1">
      <alignment horizontal="left" vertical="center" wrapText="1"/>
    </xf>
    <xf numFmtId="41" fontId="49" fillId="3" borderId="192" xfId="1" applyFont="1" applyFill="1" applyBorder="1" applyAlignment="1">
      <alignment horizontal="center" vertical="center"/>
    </xf>
    <xf numFmtId="41" fontId="49" fillId="3" borderId="192" xfId="1" applyFont="1" applyFill="1" applyBorder="1" applyAlignment="1">
      <alignment vertical="center" wrapText="1"/>
    </xf>
    <xf numFmtId="41" fontId="49" fillId="3" borderId="192" xfId="1" applyFont="1" applyFill="1" applyBorder="1" applyAlignment="1">
      <alignment horizontal="center" vertical="center" wrapText="1"/>
    </xf>
    <xf numFmtId="41" fontId="49" fillId="3" borderId="180" xfId="1" applyFont="1" applyFill="1" applyBorder="1" applyAlignment="1">
      <alignment horizontal="center" vertical="center"/>
    </xf>
    <xf numFmtId="176" fontId="49" fillId="3" borderId="65" xfId="0" applyNumberFormat="1" applyFont="1" applyFill="1" applyBorder="1" applyAlignment="1">
      <alignment vertical="center"/>
    </xf>
    <xf numFmtId="41" fontId="49" fillId="3" borderId="170" xfId="1" applyFont="1" applyFill="1" applyBorder="1" applyAlignment="1">
      <alignment horizontal="center" vertical="center"/>
    </xf>
    <xf numFmtId="41" fontId="49" fillId="3" borderId="135" xfId="1" applyFont="1" applyFill="1" applyBorder="1" applyAlignment="1">
      <alignment horizontal="center" vertical="center"/>
    </xf>
    <xf numFmtId="41" fontId="49" fillId="3" borderId="154" xfId="1" applyFont="1" applyFill="1" applyBorder="1" applyAlignment="1">
      <alignment horizontal="left" vertical="center" wrapText="1"/>
    </xf>
    <xf numFmtId="41" fontId="49" fillId="3" borderId="155" xfId="1" applyFont="1" applyFill="1" applyBorder="1" applyAlignment="1">
      <alignment horizontal="center" vertical="center"/>
    </xf>
    <xf numFmtId="41" fontId="49" fillId="3" borderId="155" xfId="1" applyFont="1" applyFill="1" applyBorder="1" applyAlignment="1">
      <alignment vertical="center" wrapText="1"/>
    </xf>
    <xf numFmtId="41" fontId="49" fillId="3" borderId="155" xfId="1" applyFont="1" applyFill="1" applyBorder="1" applyAlignment="1">
      <alignment horizontal="center" vertical="center" wrapText="1"/>
    </xf>
    <xf numFmtId="41" fontId="49" fillId="3" borderId="156" xfId="1" applyFont="1" applyFill="1" applyBorder="1" applyAlignment="1">
      <alignment horizontal="center" vertical="center"/>
    </xf>
    <xf numFmtId="176" fontId="49" fillId="3" borderId="147" xfId="0" applyNumberFormat="1" applyFont="1" applyFill="1" applyBorder="1" applyAlignment="1">
      <alignment vertical="center"/>
    </xf>
    <xf numFmtId="41" fontId="49" fillId="3" borderId="153" xfId="1" applyFont="1" applyFill="1" applyBorder="1" applyAlignment="1">
      <alignment horizontal="left" vertical="center" wrapText="1"/>
    </xf>
    <xf numFmtId="41" fontId="49" fillId="3" borderId="111" xfId="1" applyFont="1" applyFill="1" applyBorder="1" applyAlignment="1">
      <alignment horizontal="center" vertical="center" wrapText="1"/>
    </xf>
    <xf numFmtId="41" fontId="49" fillId="3" borderId="111" xfId="1" applyFont="1" applyFill="1" applyBorder="1" applyAlignment="1">
      <alignment vertical="center" wrapText="1"/>
    </xf>
    <xf numFmtId="41" fontId="49" fillId="3" borderId="112" xfId="1" applyFont="1" applyFill="1" applyBorder="1" applyAlignment="1">
      <alignment horizontal="center" vertical="center"/>
    </xf>
    <xf numFmtId="41" fontId="49" fillId="3" borderId="191" xfId="1" applyFont="1" applyFill="1" applyBorder="1" applyAlignment="1">
      <alignment vertical="center"/>
    </xf>
    <xf numFmtId="41" fontId="49" fillId="3" borderId="116" xfId="1" applyFont="1" applyFill="1" applyBorder="1" applyAlignment="1">
      <alignment horizontal="center" vertical="center"/>
    </xf>
    <xf numFmtId="41" fontId="49" fillId="3" borderId="157" xfId="1" applyFont="1" applyFill="1" applyBorder="1" applyAlignment="1">
      <alignment vertical="center"/>
    </xf>
    <xf numFmtId="41" fontId="49" fillId="3" borderId="193" xfId="1" applyFont="1" applyFill="1" applyBorder="1" applyAlignment="1">
      <alignment horizontal="center" vertical="center"/>
    </xf>
    <xf numFmtId="41" fontId="49" fillId="3" borderId="179" xfId="1" applyFont="1" applyFill="1" applyBorder="1" applyAlignment="1">
      <alignment vertical="center"/>
    </xf>
    <xf numFmtId="41" fontId="49" fillId="3" borderId="194" xfId="1" applyFont="1" applyFill="1" applyBorder="1" applyAlignment="1">
      <alignment horizontal="center" vertical="center"/>
    </xf>
    <xf numFmtId="41" fontId="49" fillId="3" borderId="188" xfId="1" applyFont="1" applyFill="1" applyBorder="1" applyAlignment="1">
      <alignment vertical="center"/>
    </xf>
    <xf numFmtId="41" fontId="49" fillId="3" borderId="164" xfId="1" applyFont="1" applyFill="1" applyBorder="1" applyAlignment="1">
      <alignment horizontal="left" vertical="center" wrapText="1"/>
    </xf>
    <xf numFmtId="41" fontId="49" fillId="3" borderId="137" xfId="1" applyFont="1" applyFill="1" applyBorder="1" applyAlignment="1">
      <alignment vertical="center" wrapText="1"/>
    </xf>
    <xf numFmtId="41" fontId="49" fillId="3" borderId="195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vertical="center"/>
    </xf>
    <xf numFmtId="41" fontId="49" fillId="3" borderId="185" xfId="1" applyFont="1" applyFill="1" applyBorder="1" applyAlignment="1">
      <alignment vertical="center"/>
    </xf>
    <xf numFmtId="41" fontId="49" fillId="3" borderId="197" xfId="1" applyFont="1" applyFill="1" applyBorder="1" applyAlignment="1">
      <alignment horizontal="center" vertical="center"/>
    </xf>
    <xf numFmtId="41" fontId="49" fillId="3" borderId="171" xfId="1" applyFont="1" applyFill="1" applyBorder="1" applyAlignment="1">
      <alignment vertical="center"/>
    </xf>
    <xf numFmtId="41" fontId="49" fillId="3" borderId="140" xfId="1" applyFont="1" applyFill="1" applyBorder="1" applyAlignment="1">
      <alignment horizontal="center" vertical="center"/>
    </xf>
    <xf numFmtId="41" fontId="49" fillId="3" borderId="81" xfId="1" applyFont="1" applyFill="1" applyBorder="1" applyAlignment="1">
      <alignment vertical="center"/>
    </xf>
    <xf numFmtId="41" fontId="50" fillId="3" borderId="20" xfId="1" applyFont="1" applyFill="1" applyBorder="1" applyAlignment="1">
      <alignment vertical="center"/>
    </xf>
    <xf numFmtId="41" fontId="50" fillId="3" borderId="21" xfId="1" applyFont="1" applyFill="1" applyBorder="1" applyAlignment="1">
      <alignment horizontal="center" vertical="center"/>
    </xf>
    <xf numFmtId="41" fontId="50" fillId="3" borderId="21" xfId="1" applyFont="1" applyFill="1" applyBorder="1" applyAlignment="1">
      <alignment vertical="center"/>
    </xf>
    <xf numFmtId="41" fontId="50" fillId="3" borderId="6" xfId="1" applyFont="1" applyFill="1" applyBorder="1" applyAlignment="1">
      <alignment horizontal="center" vertical="center"/>
    </xf>
    <xf numFmtId="41" fontId="49" fillId="3" borderId="174" xfId="1" applyFont="1" applyFill="1" applyBorder="1" applyAlignment="1">
      <alignment horizontal="center" vertical="center" wrapText="1"/>
    </xf>
    <xf numFmtId="41" fontId="49" fillId="3" borderId="161" xfId="1" applyFont="1" applyFill="1" applyBorder="1" applyAlignment="1">
      <alignment horizontal="center" vertical="center" wrapText="1"/>
    </xf>
    <xf numFmtId="41" fontId="49" fillId="3" borderId="177" xfId="1" applyFont="1" applyFill="1" applyBorder="1" applyAlignment="1">
      <alignment horizontal="right" vertical="center" wrapText="1"/>
    </xf>
    <xf numFmtId="41" fontId="49" fillId="3" borderId="177" xfId="1" applyFont="1" applyFill="1" applyBorder="1" applyAlignment="1">
      <alignment vertical="center" wrapText="1"/>
    </xf>
    <xf numFmtId="41" fontId="49" fillId="3" borderId="177" xfId="1" applyFont="1" applyFill="1" applyBorder="1" applyAlignment="1">
      <alignment horizontal="center" vertical="center" wrapText="1"/>
    </xf>
    <xf numFmtId="41" fontId="49" fillId="3" borderId="181" xfId="1" applyFont="1" applyFill="1" applyBorder="1" applyAlignment="1">
      <alignment horizontal="center" vertical="center" wrapText="1"/>
    </xf>
    <xf numFmtId="41" fontId="49" fillId="3" borderId="164" xfId="1" applyFont="1" applyFill="1" applyBorder="1" applyAlignment="1">
      <alignment vertical="center" wrapText="1"/>
    </xf>
    <xf numFmtId="41" fontId="49" fillId="3" borderId="170" xfId="1" applyFont="1" applyFill="1" applyBorder="1" applyAlignment="1">
      <alignment horizontal="center" vertical="center" wrapText="1"/>
    </xf>
    <xf numFmtId="41" fontId="49" fillId="3" borderId="171" xfId="1" applyFont="1" applyFill="1" applyBorder="1" applyAlignment="1">
      <alignment horizontal="center" vertical="center"/>
    </xf>
    <xf numFmtId="41" fontId="49" fillId="3" borderId="186" xfId="1" applyFont="1" applyFill="1" applyBorder="1" applyAlignment="1">
      <alignment horizontal="center" vertical="center" wrapText="1"/>
    </xf>
    <xf numFmtId="41" fontId="49" fillId="3" borderId="36" xfId="1" applyFont="1" applyFill="1" applyBorder="1" applyAlignment="1">
      <alignment horizontal="center" vertical="center"/>
    </xf>
    <xf numFmtId="41" fontId="49" fillId="3" borderId="131" xfId="1" applyFont="1" applyFill="1" applyBorder="1" applyAlignment="1">
      <alignment horizontal="right" vertical="center" wrapText="1"/>
    </xf>
    <xf numFmtId="41" fontId="49" fillId="3" borderId="131" xfId="1" applyFont="1" applyFill="1" applyBorder="1" applyAlignment="1">
      <alignment vertical="center" wrapText="1"/>
    </xf>
    <xf numFmtId="41" fontId="49" fillId="3" borderId="131" xfId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horizontal="center" vertical="center" wrapText="1"/>
    </xf>
    <xf numFmtId="41" fontId="49" fillId="3" borderId="179" xfId="1" applyFont="1" applyFill="1" applyBorder="1" applyAlignment="1">
      <alignment horizontal="center" vertical="center"/>
    </xf>
    <xf numFmtId="41" fontId="49" fillId="3" borderId="92" xfId="1" applyFont="1" applyFill="1" applyBorder="1" applyAlignment="1">
      <alignment horizontal="center" vertical="center"/>
    </xf>
    <xf numFmtId="41" fontId="49" fillId="3" borderId="146" xfId="1" applyFont="1" applyFill="1" applyBorder="1" applyAlignment="1">
      <alignment horizontal="center" vertical="center"/>
    </xf>
    <xf numFmtId="41" fontId="50" fillId="3" borderId="85" xfId="1" applyFont="1" applyFill="1" applyBorder="1" applyAlignment="1">
      <alignment vertical="center"/>
    </xf>
    <xf numFmtId="41" fontId="50" fillId="3" borderId="86" xfId="1" applyFont="1" applyFill="1" applyBorder="1" applyAlignment="1">
      <alignment horizontal="center" vertical="center"/>
    </xf>
    <xf numFmtId="41" fontId="50" fillId="3" borderId="86" xfId="1" applyFont="1" applyFill="1" applyBorder="1" applyAlignment="1">
      <alignment vertical="center"/>
    </xf>
    <xf numFmtId="41" fontId="50" fillId="3" borderId="84" xfId="1" applyFont="1" applyFill="1" applyBorder="1" applyAlignment="1">
      <alignment horizontal="center" vertical="center"/>
    </xf>
    <xf numFmtId="41" fontId="49" fillId="3" borderId="182" xfId="1" applyFont="1" applyFill="1" applyBorder="1" applyAlignment="1">
      <alignment vertical="center" wrapText="1"/>
    </xf>
    <xf numFmtId="41" fontId="49" fillId="3" borderId="53" xfId="1" applyFont="1" applyFill="1" applyBorder="1" applyAlignment="1">
      <alignment vertical="center"/>
    </xf>
    <xf numFmtId="41" fontId="49" fillId="3" borderId="65" xfId="1" applyFont="1" applyFill="1" applyBorder="1" applyAlignment="1">
      <alignment vertical="center"/>
    </xf>
    <xf numFmtId="9" fontId="49" fillId="3" borderId="173" xfId="1" applyNumberFormat="1" applyFont="1" applyFill="1" applyBorder="1" applyAlignment="1">
      <alignment horizontal="center" vertical="center" wrapText="1"/>
    </xf>
    <xf numFmtId="9" fontId="49" fillId="3" borderId="176" xfId="1" applyNumberFormat="1" applyFont="1" applyFill="1" applyBorder="1" applyAlignment="1">
      <alignment horizontal="center" vertical="center" wrapText="1"/>
    </xf>
    <xf numFmtId="41" fontId="49" fillId="3" borderId="43" xfId="1" applyFont="1" applyFill="1" applyBorder="1" applyAlignment="1">
      <alignment vertical="center"/>
    </xf>
    <xf numFmtId="41" fontId="50" fillId="3" borderId="86" xfId="1" applyFont="1" applyFill="1" applyBorder="1" applyAlignment="1">
      <alignment horizontal="right" vertical="center"/>
    </xf>
    <xf numFmtId="41" fontId="49" fillId="3" borderId="168" xfId="1" applyFont="1" applyFill="1" applyBorder="1" applyAlignment="1">
      <alignment vertical="center"/>
    </xf>
    <xf numFmtId="41" fontId="49" fillId="3" borderId="169" xfId="1" applyFont="1" applyFill="1" applyBorder="1" applyAlignment="1">
      <alignment horizontal="right" vertical="center"/>
    </xf>
    <xf numFmtId="41" fontId="49" fillId="3" borderId="169" xfId="1" applyFont="1" applyFill="1" applyBorder="1" applyAlignment="1">
      <alignment vertical="center"/>
    </xf>
    <xf numFmtId="41" fontId="49" fillId="3" borderId="169" xfId="1" applyFont="1" applyFill="1" applyBorder="1" applyAlignment="1">
      <alignment horizontal="center" vertical="center"/>
    </xf>
    <xf numFmtId="0" fontId="49" fillId="3" borderId="189" xfId="1" applyNumberFormat="1" applyFont="1" applyFill="1" applyBorder="1" applyAlignment="1">
      <alignment horizontal="center" vertical="center"/>
    </xf>
    <xf numFmtId="41" fontId="50" fillId="3" borderId="21" xfId="1" applyFont="1" applyFill="1" applyBorder="1" applyAlignment="1">
      <alignment horizontal="right" vertical="center"/>
    </xf>
    <xf numFmtId="41" fontId="36" fillId="3" borderId="153" xfId="1" applyFont="1" applyFill="1" applyBorder="1" applyAlignment="1">
      <alignment vertical="center"/>
    </xf>
    <xf numFmtId="41" fontId="36" fillId="3" borderId="111" xfId="1" applyFont="1" applyFill="1" applyBorder="1" applyAlignment="1">
      <alignment horizontal="center" vertical="center"/>
    </xf>
    <xf numFmtId="41" fontId="49" fillId="3" borderId="111" xfId="1" applyFont="1" applyFill="1" applyBorder="1" applyAlignment="1">
      <alignment horizontal="center" vertical="center"/>
    </xf>
    <xf numFmtId="41" fontId="49" fillId="3" borderId="113" xfId="1" applyFont="1" applyFill="1" applyBorder="1" applyAlignment="1">
      <alignment horizontal="center" vertical="center"/>
    </xf>
    <xf numFmtId="41" fontId="36" fillId="3" borderId="154" xfId="1" applyFont="1" applyFill="1" applyBorder="1" applyAlignment="1">
      <alignment vertical="center"/>
    </xf>
    <xf numFmtId="41" fontId="36" fillId="3" borderId="155" xfId="1" applyFont="1" applyFill="1" applyBorder="1" applyAlignment="1">
      <alignment horizontal="center" vertical="center"/>
    </xf>
    <xf numFmtId="41" fontId="49" fillId="3" borderId="160" xfId="1" applyFont="1" applyFill="1" applyBorder="1" applyAlignment="1">
      <alignment vertical="center" wrapText="1"/>
    </xf>
    <xf numFmtId="41" fontId="49" fillId="3" borderId="135" xfId="1" quotePrefix="1" applyFont="1" applyFill="1" applyBorder="1" applyAlignment="1">
      <alignment vertical="center" wrapText="1"/>
    </xf>
    <xf numFmtId="10" fontId="49" fillId="3" borderId="111" xfId="4" quotePrefix="1" applyNumberFormat="1" applyFont="1" applyFill="1" applyBorder="1" applyAlignment="1">
      <alignment horizontal="center" vertical="center" wrapText="1"/>
    </xf>
    <xf numFmtId="41" fontId="49" fillId="3" borderId="136" xfId="1" applyFont="1" applyFill="1" applyBorder="1" applyAlignment="1">
      <alignment vertical="center" wrapText="1"/>
    </xf>
    <xf numFmtId="41" fontId="49" fillId="3" borderId="131" xfId="1" quotePrefix="1" applyFont="1" applyFill="1" applyBorder="1" applyAlignment="1">
      <alignment vertical="center" wrapText="1"/>
    </xf>
    <xf numFmtId="10" fontId="49" fillId="3" borderId="131" xfId="4" quotePrefix="1" applyNumberFormat="1" applyFont="1" applyFill="1" applyBorder="1" applyAlignment="1">
      <alignment horizontal="center" vertical="center" wrapText="1"/>
    </xf>
    <xf numFmtId="41" fontId="49" fillId="3" borderId="134" xfId="1" applyFont="1" applyFill="1" applyBorder="1" applyAlignment="1">
      <alignment horizontal="center" vertical="center" wrapText="1"/>
    </xf>
    <xf numFmtId="41" fontId="49" fillId="3" borderId="49" xfId="1" applyFont="1" applyFill="1" applyBorder="1" applyAlignment="1">
      <alignment vertical="center"/>
    </xf>
    <xf numFmtId="41" fontId="49" fillId="3" borderId="136" xfId="1" applyFont="1" applyFill="1" applyBorder="1" applyAlignment="1">
      <alignment vertical="center"/>
    </xf>
    <xf numFmtId="41" fontId="49" fillId="3" borderId="154" xfId="1" applyFont="1" applyFill="1" applyBorder="1" applyAlignment="1">
      <alignment vertical="center" wrapText="1"/>
    </xf>
    <xf numFmtId="10" fontId="49" fillId="3" borderId="155" xfId="4" quotePrefix="1" applyNumberFormat="1" applyFont="1" applyFill="1" applyBorder="1" applyAlignment="1">
      <alignment horizontal="center" vertical="center" wrapText="1"/>
    </xf>
    <xf numFmtId="41" fontId="49" fillId="3" borderId="156" xfId="1" applyFont="1" applyFill="1" applyBorder="1" applyAlignment="1">
      <alignment horizontal="center" vertical="center" wrapText="1"/>
    </xf>
    <xf numFmtId="41" fontId="49" fillId="3" borderId="31" xfId="1" applyFont="1" applyFill="1" applyBorder="1" applyAlignment="1">
      <alignment horizontal="center" vertical="center" wrapText="1"/>
    </xf>
    <xf numFmtId="41" fontId="49" fillId="3" borderId="162" xfId="1" applyFont="1" applyFill="1" applyBorder="1" applyAlignment="1">
      <alignment vertical="center" wrapText="1"/>
    </xf>
    <xf numFmtId="41" fontId="49" fillId="3" borderId="190" xfId="1" quotePrefix="1" applyFont="1" applyFill="1" applyBorder="1" applyAlignment="1">
      <alignment vertical="center" wrapText="1"/>
    </xf>
    <xf numFmtId="41" fontId="49" fillId="3" borderId="204" xfId="1" applyFont="1" applyFill="1" applyBorder="1" applyAlignment="1">
      <alignment vertical="center" wrapText="1"/>
    </xf>
    <xf numFmtId="10" fontId="49" fillId="3" borderId="190" xfId="1" applyNumberFormat="1" applyFont="1" applyFill="1" applyBorder="1" applyAlignment="1">
      <alignment horizontal="center" vertical="center" wrapText="1"/>
    </xf>
    <xf numFmtId="176" fontId="49" fillId="3" borderId="6" xfId="0" applyNumberFormat="1" applyFont="1" applyFill="1" applyBorder="1" applyAlignment="1">
      <alignment horizontal="center" vertical="center" wrapText="1"/>
    </xf>
    <xf numFmtId="41" fontId="49" fillId="3" borderId="70" xfId="1" applyFont="1" applyFill="1" applyBorder="1" applyAlignment="1">
      <alignment vertical="center"/>
    </xf>
    <xf numFmtId="41" fontId="49" fillId="3" borderId="185" xfId="1" quotePrefix="1" applyFont="1" applyFill="1" applyBorder="1" applyAlignment="1">
      <alignment vertical="center" wrapText="1"/>
    </xf>
    <xf numFmtId="41" fontId="49" fillId="3" borderId="197" xfId="1" applyFont="1" applyFill="1" applyBorder="1" applyAlignment="1">
      <alignment vertical="center" wrapText="1"/>
    </xf>
    <xf numFmtId="10" fontId="49" fillId="3" borderId="185" xfId="1" applyNumberFormat="1" applyFont="1" applyFill="1" applyBorder="1" applyAlignment="1">
      <alignment horizontal="center" vertical="center" wrapText="1"/>
    </xf>
    <xf numFmtId="41" fontId="49" fillId="3" borderId="0" xfId="1" applyFont="1" applyFill="1" applyBorder="1" applyAlignment="1">
      <alignment horizontal="right" vertical="center" wrapText="1"/>
    </xf>
    <xf numFmtId="41" fontId="49" fillId="3" borderId="169" xfId="1" quotePrefix="1" applyFont="1" applyFill="1" applyBorder="1" applyAlignment="1">
      <alignment vertical="center" wrapText="1"/>
    </xf>
    <xf numFmtId="41" fontId="49" fillId="3" borderId="140" xfId="1" applyFont="1" applyFill="1" applyBorder="1" applyAlignment="1">
      <alignment vertical="center" wrapText="1"/>
    </xf>
    <xf numFmtId="10" fontId="49" fillId="3" borderId="169" xfId="1" applyNumberFormat="1" applyFont="1" applyFill="1" applyBorder="1" applyAlignment="1">
      <alignment horizontal="center" vertical="center" wrapText="1"/>
    </xf>
    <xf numFmtId="41" fontId="49" fillId="3" borderId="50" xfId="1" applyFont="1" applyFill="1" applyBorder="1" applyAlignment="1">
      <alignment vertical="center" wrapText="1"/>
    </xf>
    <xf numFmtId="41" fontId="49" fillId="3" borderId="0" xfId="1" applyFont="1" applyFill="1" applyBorder="1" applyAlignment="1">
      <alignment horizontal="left" vertical="center" wrapText="1"/>
    </xf>
    <xf numFmtId="41" fontId="49" fillId="3" borderId="0" xfId="1" applyFont="1" applyFill="1" applyBorder="1" applyAlignment="1">
      <alignment horizontal="center" vertical="center" wrapText="1"/>
    </xf>
    <xf numFmtId="41" fontId="49" fillId="3" borderId="37" xfId="1" applyFont="1" applyFill="1" applyBorder="1" applyAlignment="1">
      <alignment horizontal="center" vertical="center" wrapText="1"/>
    </xf>
    <xf numFmtId="41" fontId="49" fillId="3" borderId="111" xfId="1" applyFont="1" applyFill="1" applyBorder="1" applyAlignment="1">
      <alignment horizontal="right" vertical="center" wrapText="1"/>
    </xf>
    <xf numFmtId="0" fontId="49" fillId="3" borderId="113" xfId="1" applyNumberFormat="1" applyFont="1" applyFill="1" applyBorder="1" applyAlignment="1">
      <alignment horizontal="center" vertical="center" wrapText="1"/>
    </xf>
    <xf numFmtId="0" fontId="49" fillId="3" borderId="170" xfId="1" applyNumberFormat="1" applyFont="1" applyFill="1" applyBorder="1" applyAlignment="1">
      <alignment horizontal="center" vertical="center" wrapText="1"/>
    </xf>
    <xf numFmtId="41" fontId="49" fillId="3" borderId="157" xfId="1" applyFont="1" applyFill="1" applyBorder="1" applyAlignment="1">
      <alignment horizontal="center" vertical="center"/>
    </xf>
    <xf numFmtId="0" fontId="49" fillId="3" borderId="186" xfId="1" applyNumberFormat="1" applyFont="1" applyFill="1" applyBorder="1" applyAlignment="1">
      <alignment horizontal="center" vertical="center" wrapText="1"/>
    </xf>
    <xf numFmtId="0" fontId="49" fillId="3" borderId="161" xfId="1" applyNumberFormat="1" applyFont="1" applyFill="1" applyBorder="1" applyAlignment="1">
      <alignment horizontal="center" vertical="center" wrapText="1"/>
    </xf>
    <xf numFmtId="0" fontId="49" fillId="3" borderId="163" xfId="1" applyNumberFormat="1" applyFont="1" applyFill="1" applyBorder="1" applyAlignment="1">
      <alignment horizontal="center" vertical="center" wrapText="1"/>
    </xf>
    <xf numFmtId="41" fontId="49" fillId="3" borderId="136" xfId="1" applyFont="1" applyFill="1" applyBorder="1" applyAlignment="1">
      <alignment horizontal="left" vertical="center" wrapText="1"/>
    </xf>
    <xf numFmtId="0" fontId="49" fillId="3" borderId="134" xfId="1" applyNumberFormat="1" applyFont="1" applyFill="1" applyBorder="1" applyAlignment="1">
      <alignment horizontal="center" vertical="center" wrapText="1"/>
    </xf>
    <xf numFmtId="41" fontId="49" fillId="3" borderId="152" xfId="1" applyFont="1" applyFill="1" applyBorder="1" applyAlignment="1">
      <alignment horizontal="center" vertical="center"/>
    </xf>
    <xf numFmtId="0" fontId="49" fillId="3" borderId="174" xfId="1" applyNumberFormat="1" applyFont="1" applyFill="1" applyBorder="1" applyAlignment="1">
      <alignment horizontal="center" vertical="center" wrapText="1"/>
    </xf>
    <xf numFmtId="0" fontId="49" fillId="3" borderId="178" xfId="1" applyNumberFormat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horizontal="center" vertical="center"/>
    </xf>
    <xf numFmtId="3" fontId="49" fillId="3" borderId="186" xfId="1" quotePrefix="1" applyNumberFormat="1" applyFont="1" applyFill="1" applyBorder="1" applyAlignment="1">
      <alignment horizontal="center" vertical="center" wrapText="1"/>
    </xf>
    <xf numFmtId="41" fontId="49" fillId="3" borderId="17" xfId="1" applyFont="1" applyFill="1" applyBorder="1" applyAlignment="1">
      <alignment horizontal="center" vertical="center" wrapText="1"/>
    </xf>
    <xf numFmtId="41" fontId="50" fillId="3" borderId="31" xfId="1" applyFont="1" applyFill="1" applyBorder="1" applyAlignment="1">
      <alignment horizontal="center" vertical="center" wrapText="1"/>
    </xf>
    <xf numFmtId="41" fontId="50" fillId="3" borderId="19" xfId="1" applyFont="1" applyFill="1" applyBorder="1" applyAlignment="1">
      <alignment vertical="center"/>
    </xf>
    <xf numFmtId="41" fontId="49" fillId="3" borderId="135" xfId="1" applyFont="1" applyFill="1" applyBorder="1" applyAlignment="1">
      <alignment horizontal="left" vertical="center" wrapText="1"/>
    </xf>
    <xf numFmtId="41" fontId="49" fillId="3" borderId="114" xfId="1" applyFont="1" applyFill="1" applyBorder="1" applyAlignment="1">
      <alignment vertical="center" wrapText="1"/>
    </xf>
    <xf numFmtId="41" fontId="50" fillId="3" borderId="17" xfId="1" applyFont="1" applyFill="1" applyBorder="1" applyAlignment="1">
      <alignment horizontal="center" vertical="center" wrapText="1"/>
    </xf>
    <xf numFmtId="41" fontId="49" fillId="3" borderId="153" xfId="1" applyFont="1" applyFill="1" applyBorder="1" applyAlignment="1">
      <alignment vertical="center" wrapText="1"/>
    </xf>
    <xf numFmtId="41" fontId="49" fillId="3" borderId="155" xfId="1" applyFont="1" applyFill="1" applyBorder="1" applyAlignment="1">
      <alignment horizontal="right" vertical="center" wrapText="1"/>
    </xf>
    <xf numFmtId="41" fontId="50" fillId="3" borderId="114" xfId="1" applyFont="1" applyFill="1" applyBorder="1" applyAlignment="1">
      <alignment vertical="center" wrapText="1"/>
    </xf>
    <xf numFmtId="41" fontId="49" fillId="3" borderId="21" xfId="1" applyFont="1" applyFill="1" applyBorder="1" applyAlignment="1">
      <alignment horizontal="center" vertical="center" wrapText="1"/>
    </xf>
    <xf numFmtId="41" fontId="49" fillId="3" borderId="152" xfId="1" applyFont="1" applyFill="1" applyBorder="1" applyAlignment="1">
      <alignment vertical="center"/>
    </xf>
    <xf numFmtId="0" fontId="49" fillId="3" borderId="181" xfId="1" applyNumberFormat="1" applyFont="1" applyFill="1" applyBorder="1" applyAlignment="1">
      <alignment horizontal="center" vertical="center" wrapText="1"/>
    </xf>
    <xf numFmtId="41" fontId="49" fillId="3" borderId="146" xfId="1" applyFont="1" applyFill="1" applyBorder="1" applyAlignment="1">
      <alignment vertical="center"/>
    </xf>
    <xf numFmtId="41" fontId="36" fillId="3" borderId="163" xfId="1" applyFont="1" applyFill="1" applyBorder="1" applyAlignment="1">
      <alignment horizontal="center" vertical="center"/>
    </xf>
    <xf numFmtId="41" fontId="50" fillId="3" borderId="165" xfId="1" applyFont="1" applyFill="1" applyBorder="1" applyAlignment="1">
      <alignment horizontal="left" vertical="center" wrapText="1"/>
    </xf>
    <xf numFmtId="41" fontId="49" fillId="3" borderId="166" xfId="1" applyFont="1" applyFill="1" applyBorder="1" applyAlignment="1">
      <alignment horizontal="right" vertical="center" wrapText="1"/>
    </xf>
    <xf numFmtId="41" fontId="49" fillId="3" borderId="166" xfId="1" applyFont="1" applyFill="1" applyBorder="1" applyAlignment="1">
      <alignment vertical="center" wrapText="1"/>
    </xf>
    <xf numFmtId="41" fontId="49" fillId="3" borderId="166" xfId="1" applyFont="1" applyFill="1" applyBorder="1" applyAlignment="1">
      <alignment horizontal="center" vertical="center" wrapText="1"/>
    </xf>
    <xf numFmtId="41" fontId="36" fillId="3" borderId="167" xfId="1" applyFont="1" applyFill="1" applyBorder="1" applyAlignment="1">
      <alignment horizontal="center" vertical="center"/>
    </xf>
    <xf numFmtId="41" fontId="50" fillId="3" borderId="31" xfId="1" applyFont="1" applyFill="1" applyBorder="1" applyAlignment="1">
      <alignment vertical="center"/>
    </xf>
    <xf numFmtId="41" fontId="50" fillId="3" borderId="160" xfId="1" applyFont="1" applyFill="1" applyBorder="1" applyAlignment="1">
      <alignment horizontal="left" vertical="center" wrapText="1"/>
    </xf>
    <xf numFmtId="41" fontId="50" fillId="3" borderId="135" xfId="1" applyFont="1" applyFill="1" applyBorder="1" applyAlignment="1">
      <alignment horizontal="right" vertical="center" wrapText="1"/>
    </xf>
    <xf numFmtId="41" fontId="36" fillId="3" borderId="161" xfId="1" applyFont="1" applyFill="1" applyBorder="1" applyAlignment="1">
      <alignment horizontal="center" vertical="center"/>
    </xf>
    <xf numFmtId="41" fontId="36" fillId="3" borderId="170" xfId="1" applyFont="1" applyFill="1" applyBorder="1" applyAlignment="1">
      <alignment horizontal="center" vertical="center"/>
    </xf>
    <xf numFmtId="41" fontId="49" fillId="3" borderId="165" xfId="1" applyFont="1" applyFill="1" applyBorder="1" applyAlignment="1">
      <alignment horizontal="left" vertical="center" wrapText="1"/>
    </xf>
    <xf numFmtId="41" fontId="36" fillId="3" borderId="134" xfId="1" applyFont="1" applyFill="1" applyBorder="1" applyAlignment="1">
      <alignment horizontal="center" vertical="center"/>
    </xf>
    <xf numFmtId="41" fontId="36" fillId="3" borderId="113" xfId="1" applyFont="1" applyFill="1" applyBorder="1" applyAlignment="1">
      <alignment horizontal="center" vertical="center"/>
    </xf>
    <xf numFmtId="41" fontId="49" fillId="3" borderId="168" xfId="1" applyFont="1" applyFill="1" applyBorder="1" applyAlignment="1">
      <alignment horizontal="left" vertical="center" wrapText="1"/>
    </xf>
    <xf numFmtId="41" fontId="36" fillId="3" borderId="189" xfId="1" applyFont="1" applyFill="1" applyBorder="1" applyAlignment="1">
      <alignment horizontal="center" vertical="center"/>
    </xf>
    <xf numFmtId="41" fontId="49" fillId="3" borderId="147" xfId="1" applyFont="1" applyFill="1" applyBorder="1" applyAlignment="1">
      <alignment vertical="center"/>
    </xf>
    <xf numFmtId="41" fontId="36" fillId="3" borderId="156" xfId="1" applyFont="1" applyFill="1" applyBorder="1" applyAlignment="1">
      <alignment horizontal="center" vertical="center"/>
    </xf>
    <xf numFmtId="41" fontId="49" fillId="3" borderId="25" xfId="1" applyFont="1" applyFill="1" applyBorder="1" applyAlignment="1">
      <alignment vertical="center" wrapText="1"/>
    </xf>
    <xf numFmtId="41" fontId="49" fillId="3" borderId="17" xfId="1" applyFont="1" applyFill="1" applyBorder="1" applyAlignment="1">
      <alignment horizontal="right" vertical="center" wrapText="1"/>
    </xf>
    <xf numFmtId="41" fontId="49" fillId="3" borderId="17" xfId="1" applyFont="1" applyFill="1" applyBorder="1" applyAlignment="1">
      <alignment vertical="center" wrapText="1"/>
    </xf>
    <xf numFmtId="41" fontId="49" fillId="3" borderId="37" xfId="1" applyFont="1" applyFill="1" applyBorder="1" applyAlignment="1">
      <alignment vertical="center"/>
    </xf>
    <xf numFmtId="41" fontId="49" fillId="3" borderId="135" xfId="1" applyFont="1" applyFill="1" applyBorder="1" applyAlignment="1">
      <alignment horizontal="right" vertical="center"/>
    </xf>
    <xf numFmtId="41" fontId="49" fillId="3" borderId="164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right" vertical="center"/>
    </xf>
    <xf numFmtId="41" fontId="49" fillId="3" borderId="176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center" vertical="center"/>
    </xf>
    <xf numFmtId="41" fontId="49" fillId="3" borderId="172" xfId="1" applyFont="1" applyFill="1" applyBorder="1" applyAlignment="1">
      <alignment vertical="center"/>
    </xf>
    <xf numFmtId="41" fontId="49" fillId="3" borderId="135" xfId="1" applyFont="1" applyFill="1" applyBorder="1" applyAlignment="1">
      <alignment vertical="center"/>
    </xf>
    <xf numFmtId="41" fontId="49" fillId="3" borderId="154" xfId="1" applyFont="1" applyFill="1" applyBorder="1" applyAlignment="1">
      <alignment vertical="center"/>
    </xf>
    <xf numFmtId="41" fontId="49" fillId="3" borderId="21" xfId="1" applyFont="1" applyFill="1" applyBorder="1" applyAlignment="1">
      <alignment horizontal="center" vertical="center"/>
    </xf>
    <xf numFmtId="41" fontId="49" fillId="3" borderId="6" xfId="1" applyFont="1" applyFill="1" applyBorder="1" applyAlignment="1">
      <alignment horizontal="center" vertical="center"/>
    </xf>
    <xf numFmtId="41" fontId="49" fillId="3" borderId="20" xfId="1" applyFont="1" applyFill="1" applyBorder="1" applyAlignment="1">
      <alignment vertical="center"/>
    </xf>
    <xf numFmtId="41" fontId="50" fillId="3" borderId="153" xfId="1" applyFont="1" applyFill="1" applyBorder="1" applyAlignment="1">
      <alignment vertical="center"/>
    </xf>
    <xf numFmtId="41" fontId="50" fillId="3" borderId="111" xfId="1" applyFont="1" applyFill="1" applyBorder="1" applyAlignment="1">
      <alignment horizontal="right" vertical="center"/>
    </xf>
    <xf numFmtId="41" fontId="50" fillId="3" borderId="191" xfId="1" applyFont="1" applyFill="1" applyBorder="1" applyAlignment="1">
      <alignment vertical="center"/>
    </xf>
    <xf numFmtId="41" fontId="49" fillId="3" borderId="137" xfId="1" applyFont="1" applyFill="1" applyBorder="1" applyAlignment="1">
      <alignment horizontal="right" vertical="center"/>
    </xf>
    <xf numFmtId="41" fontId="49" fillId="3" borderId="137" xfId="1" applyFont="1" applyFill="1" applyBorder="1" applyAlignment="1">
      <alignment horizontal="center" vertical="center"/>
    </xf>
    <xf numFmtId="41" fontId="49" fillId="3" borderId="155" xfId="1" applyFont="1" applyFill="1" applyBorder="1" applyAlignment="1">
      <alignment horizontal="right" vertical="center"/>
    </xf>
    <xf numFmtId="41" fontId="49" fillId="3" borderId="31" xfId="1" applyFont="1" applyFill="1" applyBorder="1" applyAlignment="1">
      <alignment horizontal="center" vertical="center"/>
    </xf>
    <xf numFmtId="41" fontId="50" fillId="3" borderId="136" xfId="1" applyFont="1" applyFill="1" applyBorder="1" applyAlignment="1">
      <alignment horizontal="left" vertical="center"/>
    </xf>
    <xf numFmtId="41" fontId="49" fillId="3" borderId="111" xfId="1" applyFont="1" applyFill="1" applyBorder="1" applyAlignment="1">
      <alignment vertical="center"/>
    </xf>
    <xf numFmtId="41" fontId="49" fillId="3" borderId="136" xfId="1" applyFont="1" applyFill="1" applyBorder="1" applyAlignment="1">
      <alignment horizontal="left" vertical="center"/>
    </xf>
    <xf numFmtId="41" fontId="49" fillId="3" borderId="131" xfId="1" applyFont="1" applyFill="1" applyBorder="1" applyAlignment="1">
      <alignment horizontal="right" vertical="center"/>
    </xf>
    <xf numFmtId="41" fontId="49" fillId="3" borderId="131" xfId="1" applyFont="1" applyFill="1" applyBorder="1" applyAlignment="1">
      <alignment vertical="center"/>
    </xf>
    <xf numFmtId="41" fontId="49" fillId="3" borderId="131" xfId="1" applyFont="1" applyFill="1" applyBorder="1" applyAlignment="1">
      <alignment horizontal="center" vertical="center"/>
    </xf>
    <xf numFmtId="41" fontId="49" fillId="3" borderId="134" xfId="1" applyFont="1" applyFill="1" applyBorder="1" applyAlignment="1">
      <alignment horizontal="center" vertical="center"/>
    </xf>
    <xf numFmtId="41" fontId="49" fillId="3" borderId="175" xfId="1" applyFont="1" applyFill="1" applyBorder="1" applyAlignment="1">
      <alignment horizontal="left" vertical="center"/>
    </xf>
    <xf numFmtId="41" fontId="49" fillId="3" borderId="155" xfId="1" applyFont="1" applyFill="1" applyBorder="1" applyAlignment="1">
      <alignment vertical="center"/>
    </xf>
    <xf numFmtId="41" fontId="50" fillId="3" borderId="111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horizontal="center" vertical="center"/>
    </xf>
    <xf numFmtId="41" fontId="50" fillId="3" borderId="173" xfId="1" applyFont="1" applyFill="1" applyBorder="1" applyAlignment="1">
      <alignment horizontal="right" vertical="center" wrapText="1"/>
    </xf>
    <xf numFmtId="41" fontId="50" fillId="3" borderId="173" xfId="1" applyFont="1" applyFill="1" applyBorder="1" applyAlignment="1">
      <alignment horizontal="center" vertical="center"/>
    </xf>
    <xf numFmtId="41" fontId="49" fillId="3" borderId="196" xfId="1" applyFont="1" applyFill="1" applyBorder="1" applyAlignment="1">
      <alignment horizontal="center" vertical="center"/>
    </xf>
    <xf numFmtId="41" fontId="49" fillId="3" borderId="173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center" vertical="center"/>
    </xf>
    <xf numFmtId="41" fontId="49" fillId="3" borderId="65" xfId="1" applyFont="1" applyFill="1" applyBorder="1" applyAlignment="1">
      <alignment horizontal="center" vertical="center"/>
    </xf>
    <xf numFmtId="41" fontId="49" fillId="3" borderId="159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right" vertical="center"/>
    </xf>
    <xf numFmtId="41" fontId="50" fillId="3" borderId="177" xfId="1" applyFont="1" applyFill="1" applyBorder="1" applyAlignment="1">
      <alignment horizontal="right" vertical="center"/>
    </xf>
    <xf numFmtId="41" fontId="49" fillId="3" borderId="132" xfId="1" applyFont="1" applyFill="1" applyBorder="1" applyAlignment="1">
      <alignment horizontal="center" vertical="center"/>
    </xf>
    <xf numFmtId="41" fontId="50" fillId="3" borderId="185" xfId="1" applyFont="1" applyFill="1" applyBorder="1" applyAlignment="1">
      <alignment horizontal="right" vertical="center" wrapText="1"/>
    </xf>
    <xf numFmtId="41" fontId="50" fillId="3" borderId="172" xfId="1" applyFont="1" applyFill="1" applyBorder="1" applyAlignment="1">
      <alignment vertical="center"/>
    </xf>
    <xf numFmtId="41" fontId="50" fillId="3" borderId="173" xfId="1" applyFont="1" applyFill="1" applyBorder="1" applyAlignment="1">
      <alignment horizontal="right" vertical="center"/>
    </xf>
    <xf numFmtId="41" fontId="49" fillId="3" borderId="173" xfId="1" applyFont="1" applyFill="1" applyBorder="1" applyAlignment="1">
      <alignment vertical="center"/>
    </xf>
    <xf numFmtId="41" fontId="49" fillId="3" borderId="174" xfId="1" applyFont="1" applyFill="1" applyBorder="1" applyAlignment="1">
      <alignment horizontal="center" vertical="center"/>
    </xf>
    <xf numFmtId="41" fontId="49" fillId="3" borderId="175" xfId="1" applyFont="1" applyFill="1" applyBorder="1" applyAlignment="1">
      <alignment vertical="center"/>
    </xf>
    <xf numFmtId="41" fontId="49" fillId="3" borderId="178" xfId="1" applyFont="1" applyFill="1" applyBorder="1" applyAlignment="1">
      <alignment horizontal="center" vertical="center"/>
    </xf>
    <xf numFmtId="41" fontId="49" fillId="3" borderId="173" xfId="1" applyFont="1" applyFill="1" applyBorder="1" applyAlignment="1">
      <alignment horizontal="right" vertical="center"/>
    </xf>
    <xf numFmtId="41" fontId="49" fillId="3" borderId="131" xfId="1" applyFont="1" applyFill="1" applyBorder="1" applyAlignment="1">
      <alignment horizontal="left" vertical="center"/>
    </xf>
    <xf numFmtId="41" fontId="48" fillId="3" borderId="19" xfId="1" applyFont="1" applyFill="1" applyBorder="1" applyAlignment="1">
      <alignment vertical="center"/>
    </xf>
    <xf numFmtId="41" fontId="49" fillId="3" borderId="26" xfId="1" applyFont="1" applyFill="1" applyBorder="1" applyAlignment="1">
      <alignment vertical="center"/>
    </xf>
    <xf numFmtId="41" fontId="49" fillId="3" borderId="1" xfId="1" applyFont="1" applyFill="1" applyBorder="1" applyAlignment="1">
      <alignment horizontal="right" vertical="center"/>
    </xf>
    <xf numFmtId="41" fontId="49" fillId="3" borderId="1" xfId="1" applyFont="1" applyFill="1" applyBorder="1" applyAlignment="1">
      <alignment vertical="center"/>
    </xf>
    <xf numFmtId="41" fontId="36" fillId="3" borderId="1" xfId="1" applyFont="1" applyFill="1" applyBorder="1" applyAlignment="1">
      <alignment horizontal="center" vertical="center"/>
    </xf>
    <xf numFmtId="41" fontId="36" fillId="3" borderId="16" xfId="1" applyFont="1" applyFill="1" applyBorder="1" applyAlignment="1">
      <alignment horizontal="center" vertical="center"/>
    </xf>
    <xf numFmtId="41" fontId="48" fillId="3" borderId="81" xfId="1" applyFont="1" applyFill="1" applyBorder="1" applyAlignment="1">
      <alignment vertical="center"/>
    </xf>
    <xf numFmtId="41" fontId="36" fillId="3" borderId="17" xfId="1" applyFont="1" applyFill="1" applyBorder="1" applyAlignment="1">
      <alignment horizontal="center" vertical="center"/>
    </xf>
    <xf numFmtId="41" fontId="36" fillId="3" borderId="31" xfId="1" applyFont="1" applyFill="1" applyBorder="1" applyAlignment="1">
      <alignment horizontal="center" vertical="center"/>
    </xf>
    <xf numFmtId="41" fontId="50" fillId="3" borderId="50" xfId="1" applyFont="1" applyFill="1" applyBorder="1" applyAlignment="1">
      <alignment vertical="center"/>
    </xf>
    <xf numFmtId="41" fontId="50" fillId="3" borderId="0" xfId="1" applyFont="1" applyFill="1" applyBorder="1" applyAlignment="1">
      <alignment horizontal="right" vertical="center"/>
    </xf>
    <xf numFmtId="41" fontId="50" fillId="3" borderId="0" xfId="1" applyFont="1" applyFill="1" applyBorder="1" applyAlignment="1">
      <alignment vertical="center"/>
    </xf>
    <xf numFmtId="41" fontId="36" fillId="3" borderId="0" xfId="1" applyFont="1" applyFill="1" applyBorder="1" applyAlignment="1">
      <alignment horizontal="center" vertical="center"/>
    </xf>
    <xf numFmtId="41" fontId="36" fillId="3" borderId="37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vertical="center"/>
    </xf>
    <xf numFmtId="41" fontId="49" fillId="3" borderId="0" xfId="1" applyFont="1" applyFill="1" applyBorder="1" applyAlignment="1"/>
    <xf numFmtId="41" fontId="49" fillId="3" borderId="0" xfId="1" applyFont="1" applyFill="1" applyBorder="1" applyAlignment="1">
      <alignment horizontal="right"/>
    </xf>
    <xf numFmtId="41" fontId="49" fillId="3" borderId="0" xfId="1" applyFont="1" applyFill="1" applyBorder="1" applyAlignment="1">
      <alignment horizontal="center"/>
    </xf>
    <xf numFmtId="41" fontId="36" fillId="3" borderId="0" xfId="1" applyFont="1" applyFill="1" applyAlignment="1"/>
    <xf numFmtId="41" fontId="36" fillId="3" borderId="0" xfId="1" applyFont="1" applyFill="1" applyAlignment="1">
      <alignment horizontal="right"/>
    </xf>
    <xf numFmtId="41" fontId="36" fillId="3" borderId="0" xfId="1" applyFont="1" applyFill="1" applyAlignment="1">
      <alignment horizontal="center"/>
    </xf>
    <xf numFmtId="41" fontId="48" fillId="3" borderId="19" xfId="1" applyFont="1" applyFill="1" applyBorder="1" applyAlignment="1">
      <alignment horizontal="center" vertical="center"/>
    </xf>
    <xf numFmtId="41" fontId="48" fillId="3" borderId="25" xfId="1" applyFont="1" applyFill="1" applyBorder="1" applyAlignment="1">
      <alignment horizontal="center" vertical="center"/>
    </xf>
    <xf numFmtId="41" fontId="50" fillId="3" borderId="26" xfId="1" applyFont="1" applyFill="1" applyBorder="1" applyAlignment="1">
      <alignment horizontal="center" vertical="center"/>
    </xf>
    <xf numFmtId="41" fontId="50" fillId="3" borderId="25" xfId="1" applyFont="1" applyFill="1" applyBorder="1" applyAlignment="1">
      <alignment horizontal="center" vertical="center"/>
    </xf>
    <xf numFmtId="41" fontId="50" fillId="3" borderId="85" xfId="1" applyFont="1" applyFill="1" applyBorder="1" applyAlignment="1">
      <alignment horizontal="center" vertical="center"/>
    </xf>
    <xf numFmtId="41" fontId="50" fillId="3" borderId="36" xfId="1" applyFont="1" applyFill="1" applyBorder="1" applyAlignment="1">
      <alignment horizontal="center" vertical="center"/>
    </xf>
    <xf numFmtId="41" fontId="50" fillId="3" borderId="66" xfId="1" applyFont="1" applyFill="1" applyBorder="1" applyAlignment="1">
      <alignment horizontal="center" vertical="center"/>
    </xf>
    <xf numFmtId="41" fontId="50" fillId="3" borderId="67" xfId="1" applyFont="1" applyFill="1" applyBorder="1" applyAlignment="1">
      <alignment vertical="center"/>
    </xf>
    <xf numFmtId="41" fontId="50" fillId="3" borderId="37" xfId="1" applyFont="1" applyFill="1" applyBorder="1" applyAlignment="1">
      <alignment horizontal="center" vertical="center"/>
    </xf>
    <xf numFmtId="41" fontId="50" fillId="3" borderId="0" xfId="1" applyFont="1" applyFill="1" applyBorder="1" applyAlignment="1">
      <alignment horizontal="center" vertical="center"/>
    </xf>
    <xf numFmtId="41" fontId="50" fillId="3" borderId="70" xfId="1" applyFont="1" applyFill="1" applyBorder="1" applyAlignment="1">
      <alignment horizontal="center" vertical="center"/>
    </xf>
    <xf numFmtId="41" fontId="50" fillId="3" borderId="81" xfId="1" applyFont="1" applyFill="1" applyBorder="1" applyAlignment="1">
      <alignment horizontal="center" vertical="center"/>
    </xf>
    <xf numFmtId="41" fontId="50" fillId="3" borderId="50" xfId="1" applyFont="1" applyFill="1" applyBorder="1" applyAlignment="1">
      <alignment horizontal="center" vertical="center"/>
    </xf>
    <xf numFmtId="41" fontId="50" fillId="3" borderId="19" xfId="1" applyFont="1" applyFill="1" applyBorder="1" applyAlignment="1">
      <alignment horizontal="center" vertical="center" wrapText="1"/>
    </xf>
    <xf numFmtId="41" fontId="50" fillId="3" borderId="36" xfId="1" applyFont="1" applyFill="1" applyBorder="1" applyAlignment="1">
      <alignment horizontal="center" vertical="center" wrapText="1"/>
    </xf>
    <xf numFmtId="41" fontId="49" fillId="3" borderId="50" xfId="1" applyFont="1" applyFill="1" applyBorder="1" applyAlignment="1">
      <alignment horizontal="center" vertical="center"/>
    </xf>
    <xf numFmtId="41" fontId="49" fillId="3" borderId="70" xfId="1" applyFont="1" applyFill="1" applyBorder="1" applyAlignment="1">
      <alignment horizontal="center" vertical="center"/>
    </xf>
    <xf numFmtId="41" fontId="49" fillId="3" borderId="20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horizontal="left" vertical="center"/>
    </xf>
    <xf numFmtId="41" fontId="50" fillId="3" borderId="20" xfId="1" applyFont="1" applyFill="1" applyBorder="1" applyAlignment="1">
      <alignment horizontal="center" vertical="center"/>
    </xf>
    <xf numFmtId="41" fontId="49" fillId="3" borderId="26" xfId="1" applyFont="1" applyFill="1" applyBorder="1" applyAlignment="1">
      <alignment horizontal="center" vertical="center"/>
    </xf>
    <xf numFmtId="41" fontId="49" fillId="3" borderId="81" xfId="1" applyFont="1" applyFill="1" applyBorder="1" applyAlignment="1">
      <alignment horizontal="center" vertical="center"/>
    </xf>
    <xf numFmtId="41" fontId="50" fillId="3" borderId="36" xfId="1" applyFont="1" applyFill="1" applyBorder="1" applyAlignment="1">
      <alignment vertical="center"/>
    </xf>
    <xf numFmtId="41" fontId="49" fillId="3" borderId="0" xfId="1" applyFont="1" applyFill="1" applyBorder="1" applyAlignment="1">
      <alignment horizontal="center" vertical="center"/>
    </xf>
    <xf numFmtId="41" fontId="49" fillId="3" borderId="50" xfId="1" applyFont="1" applyFill="1" applyBorder="1" applyAlignment="1">
      <alignment vertical="center"/>
    </xf>
    <xf numFmtId="41" fontId="49" fillId="3" borderId="50" xfId="1" applyFont="1" applyFill="1" applyBorder="1" applyAlignment="1">
      <alignment horizontal="left" vertical="center"/>
    </xf>
    <xf numFmtId="41" fontId="50" fillId="3" borderId="81" xfId="1" applyFont="1" applyFill="1" applyBorder="1" applyAlignment="1">
      <alignment vertical="center"/>
    </xf>
    <xf numFmtId="41" fontId="49" fillId="3" borderId="19" xfId="1" applyFont="1" applyFill="1" applyBorder="1" applyAlignment="1">
      <alignment vertical="center"/>
    </xf>
    <xf numFmtId="41" fontId="49" fillId="3" borderId="70" xfId="1" applyFont="1" applyFill="1" applyBorder="1" applyAlignment="1">
      <alignment horizontal="left" vertical="center"/>
    </xf>
    <xf numFmtId="41" fontId="50" fillId="3" borderId="0" xfId="1" applyFont="1" applyFill="1" applyBorder="1" applyAlignment="1">
      <alignment horizontal="center"/>
    </xf>
    <xf numFmtId="41" fontId="50" fillId="3" borderId="0" xfId="1" applyFont="1" applyFill="1" applyBorder="1" applyAlignment="1"/>
    <xf numFmtId="41" fontId="48" fillId="3" borderId="1" xfId="1" applyFont="1" applyFill="1" applyBorder="1" applyAlignment="1">
      <alignment vertical="center"/>
    </xf>
    <xf numFmtId="41" fontId="48" fillId="3" borderId="70" xfId="1" applyFont="1" applyFill="1" applyBorder="1" applyAlignment="1">
      <alignment vertical="center" shrinkToFit="1"/>
    </xf>
    <xf numFmtId="41" fontId="48" fillId="3" borderId="20" xfId="1" applyFont="1" applyFill="1" applyBorder="1" applyAlignment="1">
      <alignment vertical="center"/>
    </xf>
    <xf numFmtId="41" fontId="48" fillId="3" borderId="21" xfId="1" applyFont="1" applyFill="1" applyBorder="1" applyAlignment="1">
      <alignment vertical="center"/>
    </xf>
    <xf numFmtId="41" fontId="48" fillId="3" borderId="6" xfId="1" applyFont="1" applyFill="1" applyBorder="1" applyAlignment="1">
      <alignment vertical="center"/>
    </xf>
    <xf numFmtId="41" fontId="48" fillId="3" borderId="24" xfId="1" applyFont="1" applyFill="1" applyBorder="1" applyAlignment="1">
      <alignment vertical="center"/>
    </xf>
    <xf numFmtId="41" fontId="48" fillId="3" borderId="81" xfId="1" applyFont="1" applyFill="1" applyBorder="1" applyAlignment="1">
      <alignment vertical="center" shrinkToFit="1"/>
    </xf>
    <xf numFmtId="41" fontId="48" fillId="3" borderId="26" xfId="1" applyFont="1" applyFill="1" applyBorder="1" applyAlignment="1">
      <alignment vertical="center"/>
    </xf>
    <xf numFmtId="41" fontId="48" fillId="3" borderId="16" xfId="1" applyFont="1" applyFill="1" applyBorder="1" applyAlignment="1">
      <alignment vertical="center"/>
    </xf>
    <xf numFmtId="41" fontId="48" fillId="3" borderId="30" xfId="1" applyFont="1" applyFill="1" applyBorder="1" applyAlignment="1">
      <alignment vertical="center"/>
    </xf>
    <xf numFmtId="41" fontId="50" fillId="3" borderId="16" xfId="1" applyFont="1" applyFill="1" applyBorder="1" applyAlignment="1">
      <alignment vertical="center"/>
    </xf>
    <xf numFmtId="41" fontId="50" fillId="3" borderId="93" xfId="1" applyFont="1" applyFill="1" applyBorder="1" applyAlignment="1">
      <alignment horizontal="center" vertical="center"/>
    </xf>
    <xf numFmtId="41" fontId="49" fillId="3" borderId="85" xfId="1" applyFont="1" applyFill="1" applyBorder="1" applyAlignment="1">
      <alignment horizontal="center" vertical="center"/>
    </xf>
    <xf numFmtId="41" fontId="49" fillId="3" borderId="86" xfId="1" applyFont="1" applyFill="1" applyBorder="1" applyAlignment="1">
      <alignment horizontal="center" vertical="center"/>
    </xf>
    <xf numFmtId="41" fontId="50" fillId="3" borderId="105" xfId="1" applyFont="1" applyFill="1" applyBorder="1" applyAlignment="1">
      <alignment horizontal="center" vertical="center"/>
    </xf>
    <xf numFmtId="41" fontId="50" fillId="3" borderId="67" xfId="1" applyFont="1" applyFill="1" applyBorder="1" applyAlignment="1">
      <alignment horizontal="center" vertical="center"/>
    </xf>
    <xf numFmtId="41" fontId="49" fillId="3" borderId="67" xfId="1" applyFont="1" applyFill="1" applyBorder="1" applyAlignment="1">
      <alignment horizontal="center" vertical="center"/>
    </xf>
    <xf numFmtId="41" fontId="49" fillId="3" borderId="68" xfId="1" applyFont="1" applyFill="1" applyBorder="1" applyAlignment="1">
      <alignment horizontal="center" vertical="center"/>
    </xf>
    <xf numFmtId="41" fontId="50" fillId="3" borderId="92" xfId="1" applyFont="1" applyFill="1" applyBorder="1" applyAlignment="1">
      <alignment horizontal="center" vertical="center"/>
    </xf>
    <xf numFmtId="41" fontId="49" fillId="3" borderId="108" xfId="1" applyFont="1" applyFill="1" applyBorder="1" applyAlignment="1">
      <alignment vertical="center"/>
    </xf>
    <xf numFmtId="41" fontId="49" fillId="3" borderId="109" xfId="1" applyFont="1" applyFill="1" applyBorder="1" applyAlignment="1">
      <alignment vertical="center"/>
    </xf>
    <xf numFmtId="41" fontId="49" fillId="3" borderId="20" xfId="1" applyFont="1" applyFill="1" applyBorder="1" applyAlignment="1"/>
    <xf numFmtId="41" fontId="49" fillId="3" borderId="21" xfId="1" applyFont="1" applyFill="1" applyBorder="1" applyAlignment="1"/>
    <xf numFmtId="41" fontId="50" fillId="3" borderId="70" xfId="1" applyFont="1" applyFill="1" applyBorder="1" applyAlignment="1"/>
    <xf numFmtId="41" fontId="50" fillId="3" borderId="81" xfId="1" applyFont="1" applyFill="1" applyBorder="1" applyAlignment="1"/>
    <xf numFmtId="41" fontId="50" fillId="3" borderId="6" xfId="1" applyFont="1" applyFill="1" applyBorder="1" applyAlignment="1">
      <alignment vertical="center"/>
    </xf>
    <xf numFmtId="41" fontId="49" fillId="3" borderId="17" xfId="1" applyFont="1" applyFill="1" applyBorder="1" applyAlignment="1">
      <alignment horizontal="left" vertical="center" wrapText="1"/>
    </xf>
    <xf numFmtId="12" fontId="49" fillId="3" borderId="111" xfId="1" quotePrefix="1" applyNumberFormat="1" applyFont="1" applyFill="1" applyBorder="1" applyAlignment="1">
      <alignment horizontal="center" vertical="center" wrapText="1"/>
    </xf>
    <xf numFmtId="12" fontId="49" fillId="3" borderId="131" xfId="1" quotePrefix="1" applyNumberFormat="1" applyFont="1" applyFill="1" applyBorder="1" applyAlignment="1">
      <alignment horizontal="center" vertical="center" wrapText="1"/>
    </xf>
    <xf numFmtId="41" fontId="49" fillId="3" borderId="191" xfId="1" applyFont="1" applyFill="1" applyBorder="1" applyAlignment="1">
      <alignment vertical="center" wrapText="1"/>
    </xf>
    <xf numFmtId="41" fontId="49" fillId="3" borderId="152" xfId="1" applyFont="1" applyFill="1" applyBorder="1" applyAlignment="1">
      <alignment vertical="center" wrapText="1"/>
    </xf>
    <xf numFmtId="41" fontId="49" fillId="3" borderId="175" xfId="1" applyFont="1" applyFill="1" applyBorder="1" applyAlignment="1">
      <alignment vertical="center" wrapText="1"/>
    </xf>
    <xf numFmtId="12" fontId="49" fillId="3" borderId="176" xfId="1" quotePrefix="1" applyNumberFormat="1" applyFont="1" applyFill="1" applyBorder="1" applyAlignment="1">
      <alignment horizontal="center" vertical="center" wrapText="1"/>
    </xf>
    <xf numFmtId="41" fontId="49" fillId="3" borderId="188" xfId="1" applyFont="1" applyFill="1" applyBorder="1" applyAlignment="1">
      <alignment vertical="center" wrapText="1"/>
    </xf>
    <xf numFmtId="12" fontId="49" fillId="3" borderId="135" xfId="1" quotePrefix="1" applyNumberFormat="1" applyFont="1" applyFill="1" applyBorder="1" applyAlignment="1">
      <alignment horizontal="center" vertical="center" wrapText="1"/>
    </xf>
    <xf numFmtId="41" fontId="49" fillId="3" borderId="146" xfId="1" applyFont="1" applyFill="1" applyBorder="1" applyAlignment="1">
      <alignment vertical="center" wrapText="1"/>
    </xf>
    <xf numFmtId="12" fontId="49" fillId="3" borderId="155" xfId="1" quotePrefix="1" applyNumberFormat="1" applyFont="1" applyFill="1" applyBorder="1" applyAlignment="1">
      <alignment horizontal="center" vertical="center" wrapText="1"/>
    </xf>
    <xf numFmtId="41" fontId="50" fillId="3" borderId="25" xfId="1" applyFont="1" applyFill="1" applyBorder="1" applyAlignment="1">
      <alignment horizontal="left" vertical="center" wrapText="1"/>
    </xf>
    <xf numFmtId="41" fontId="49" fillId="3" borderId="31" xfId="1" applyFont="1" applyFill="1" applyBorder="1" applyAlignment="1">
      <alignment horizontal="left" vertical="center" wrapText="1"/>
    </xf>
    <xf numFmtId="41" fontId="49" fillId="3" borderId="26" xfId="1" applyFont="1" applyFill="1" applyBorder="1" applyAlignment="1">
      <alignment horizontal="left" vertical="center" wrapText="1"/>
    </xf>
    <xf numFmtId="41" fontId="49" fillId="3" borderId="31" xfId="1" applyFont="1" applyFill="1" applyBorder="1" applyAlignment="1">
      <alignment vertical="center" wrapText="1"/>
    </xf>
    <xf numFmtId="41" fontId="49" fillId="3" borderId="31" xfId="1" applyFont="1" applyFill="1" applyBorder="1" applyAlignment="1">
      <alignment vertical="center"/>
    </xf>
    <xf numFmtId="176" fontId="49" fillId="3" borderId="136" xfId="0" applyNumberFormat="1" applyFont="1" applyFill="1" applyBorder="1" applyAlignment="1">
      <alignment vertical="center"/>
    </xf>
    <xf numFmtId="176" fontId="49" fillId="3" borderId="131" xfId="0" applyNumberFormat="1" applyFont="1" applyFill="1" applyBorder="1" applyAlignment="1">
      <alignment vertical="center"/>
    </xf>
    <xf numFmtId="176" fontId="49" fillId="3" borderId="131" xfId="0" applyNumberFormat="1" applyFont="1" applyFill="1" applyBorder="1" applyAlignment="1">
      <alignment horizontal="center" vertical="center"/>
    </xf>
    <xf numFmtId="176" fontId="49" fillId="3" borderId="134" xfId="0" applyNumberFormat="1" applyFont="1" applyFill="1" applyBorder="1" applyAlignment="1">
      <alignment vertical="center"/>
    </xf>
    <xf numFmtId="176" fontId="50" fillId="3" borderId="153" xfId="0" applyNumberFormat="1" applyFont="1" applyFill="1" applyBorder="1" applyAlignment="1">
      <alignment horizontal="left" vertical="center" wrapText="1"/>
    </xf>
    <xf numFmtId="41" fontId="50" fillId="3" borderId="113" xfId="1" applyFont="1" applyFill="1" applyBorder="1" applyAlignment="1">
      <alignment vertical="center"/>
    </xf>
    <xf numFmtId="176" fontId="49" fillId="3" borderId="136" xfId="0" applyNumberFormat="1" applyFont="1" applyFill="1" applyBorder="1" applyAlignment="1">
      <alignment horizontal="left" vertical="center" wrapText="1"/>
    </xf>
    <xf numFmtId="41" fontId="50" fillId="3" borderId="134" xfId="1" applyFont="1" applyFill="1" applyBorder="1" applyAlignment="1">
      <alignment vertical="center"/>
    </xf>
    <xf numFmtId="176" fontId="49" fillId="3" borderId="152" xfId="0" applyNumberFormat="1" applyFont="1" applyFill="1" applyBorder="1" applyAlignment="1">
      <alignment vertical="center"/>
    </xf>
    <xf numFmtId="176" fontId="49" fillId="3" borderId="50" xfId="0" applyNumberFormat="1" applyFont="1" applyFill="1" applyBorder="1" applyAlignment="1">
      <alignment horizontal="left" vertical="center"/>
    </xf>
    <xf numFmtId="41" fontId="50" fillId="3" borderId="37" xfId="1" applyFont="1" applyFill="1" applyBorder="1" applyAlignment="1">
      <alignment vertical="center"/>
    </xf>
    <xf numFmtId="41" fontId="36" fillId="3" borderId="131" xfId="1" applyFont="1" applyFill="1" applyBorder="1" applyAlignment="1"/>
    <xf numFmtId="41" fontId="36" fillId="3" borderId="176" xfId="1" applyFont="1" applyFill="1" applyBorder="1" applyAlignment="1"/>
    <xf numFmtId="41" fontId="36" fillId="3" borderId="135" xfId="1" applyFont="1" applyFill="1" applyBorder="1" applyAlignment="1"/>
    <xf numFmtId="41" fontId="36" fillId="3" borderId="135" xfId="1" applyFont="1" applyFill="1" applyBorder="1" applyAlignment="1">
      <alignment horizontal="center"/>
    </xf>
    <xf numFmtId="41" fontId="36" fillId="3" borderId="155" xfId="1" applyFont="1" applyFill="1" applyBorder="1" applyAlignment="1"/>
    <xf numFmtId="41" fontId="36" fillId="3" borderId="155" xfId="1" applyFont="1" applyFill="1" applyBorder="1" applyAlignment="1">
      <alignment horizontal="center"/>
    </xf>
    <xf numFmtId="41" fontId="49" fillId="3" borderId="183" xfId="1" applyFont="1" applyFill="1" applyBorder="1" applyAlignment="1">
      <alignment horizontal="left" vertical="center" wrapText="1"/>
    </xf>
    <xf numFmtId="41" fontId="49" fillId="3" borderId="162" xfId="1" applyFont="1" applyFill="1" applyBorder="1" applyAlignment="1">
      <alignment horizontal="left" vertical="center" wrapText="1"/>
    </xf>
    <xf numFmtId="41" fontId="49" fillId="3" borderId="146" xfId="1" applyFont="1" applyFill="1" applyBorder="1" applyAlignment="1">
      <alignment horizontal="center" vertical="center" wrapText="1"/>
    </xf>
    <xf numFmtId="41" fontId="49" fillId="3" borderId="36" xfId="1" applyFont="1" applyFill="1" applyBorder="1" applyAlignment="1">
      <alignment horizontal="center" vertical="center" wrapText="1"/>
    </xf>
    <xf numFmtId="41" fontId="49" fillId="3" borderId="92" xfId="1" applyFont="1" applyFill="1" applyBorder="1" applyAlignment="1">
      <alignment vertical="center"/>
    </xf>
    <xf numFmtId="178" fontId="49" fillId="3" borderId="185" xfId="1" applyNumberFormat="1" applyFont="1" applyFill="1" applyBorder="1" applyAlignment="1">
      <alignment horizontal="center" vertical="center" wrapText="1"/>
    </xf>
    <xf numFmtId="41" fontId="49" fillId="3" borderId="177" xfId="1" quotePrefix="1" applyFont="1" applyFill="1" applyBorder="1" applyAlignment="1">
      <alignment vertical="center" wrapText="1"/>
    </xf>
    <xf numFmtId="41" fontId="49" fillId="3" borderId="196" xfId="1" applyFont="1" applyFill="1" applyBorder="1" applyAlignment="1">
      <alignment vertical="center" wrapText="1"/>
    </xf>
    <xf numFmtId="10" fontId="51" fillId="3" borderId="177" xfId="1" applyNumberFormat="1" applyFont="1" applyFill="1" applyBorder="1" applyAlignment="1">
      <alignment horizontal="center" vertical="center" wrapText="1"/>
    </xf>
    <xf numFmtId="41" fontId="49" fillId="3" borderId="112" xfId="1" applyFont="1" applyFill="1" applyBorder="1" applyAlignment="1">
      <alignment horizontal="center" vertical="center" wrapText="1"/>
    </xf>
    <xf numFmtId="41" fontId="49" fillId="3" borderId="132" xfId="1" applyFont="1" applyFill="1" applyBorder="1" applyAlignment="1">
      <alignment horizontal="center" vertical="center" wrapText="1"/>
    </xf>
    <xf numFmtId="41" fontId="49" fillId="3" borderId="194" xfId="1" applyFont="1" applyFill="1" applyBorder="1" applyAlignment="1">
      <alignment horizontal="center" vertical="center" wrapText="1"/>
    </xf>
    <xf numFmtId="41" fontId="49" fillId="3" borderId="159" xfId="1" applyFont="1" applyFill="1" applyBorder="1" applyAlignment="1">
      <alignment horizontal="center" vertical="center" wrapText="1"/>
    </xf>
    <xf numFmtId="41" fontId="49" fillId="3" borderId="203" xfId="1" applyFont="1" applyFill="1" applyBorder="1" applyAlignment="1">
      <alignment horizontal="center" vertical="center" wrapText="1"/>
    </xf>
    <xf numFmtId="12" fontId="49" fillId="3" borderId="166" xfId="1" quotePrefix="1" applyNumberFormat="1" applyFont="1" applyFill="1" applyBorder="1" applyAlignment="1">
      <alignment horizontal="center" vertical="center" wrapText="1"/>
    </xf>
    <xf numFmtId="41" fontId="50" fillId="3" borderId="153" xfId="1" applyFont="1" applyFill="1" applyBorder="1" applyAlignment="1">
      <alignment horizontal="left" vertical="center" wrapText="1"/>
    </xf>
    <xf numFmtId="41" fontId="50" fillId="3" borderId="111" xfId="1" applyFont="1" applyFill="1" applyBorder="1" applyAlignment="1">
      <alignment vertical="center"/>
    </xf>
    <xf numFmtId="176" fontId="49" fillId="3" borderId="175" xfId="0" applyNumberFormat="1" applyFont="1" applyFill="1" applyBorder="1" applyAlignment="1">
      <alignment vertical="center"/>
    </xf>
    <xf numFmtId="176" fontId="50" fillId="3" borderId="160" xfId="0" applyNumberFormat="1" applyFont="1" applyFill="1" applyBorder="1" applyAlignment="1">
      <alignment vertical="center"/>
    </xf>
    <xf numFmtId="41" fontId="49" fillId="3" borderId="177" xfId="1" applyFont="1" applyFill="1" applyBorder="1" applyAlignment="1">
      <alignment vertical="center"/>
    </xf>
    <xf numFmtId="41" fontId="36" fillId="3" borderId="135" xfId="1" applyFont="1" applyFill="1" applyBorder="1" applyAlignment="1">
      <alignment horizontal="center" wrapText="1"/>
    </xf>
    <xf numFmtId="41" fontId="49" fillId="3" borderId="203" xfId="1" applyFont="1" applyFill="1" applyBorder="1" applyAlignment="1">
      <alignment horizontal="center" vertical="center"/>
    </xf>
    <xf numFmtId="41" fontId="50" fillId="3" borderId="185" xfId="1" applyFont="1" applyFill="1" applyBorder="1" applyAlignment="1">
      <alignment vertical="center"/>
    </xf>
    <xf numFmtId="41" fontId="49" fillId="3" borderId="211" xfId="1" applyFont="1" applyFill="1" applyBorder="1" applyAlignment="1">
      <alignment horizontal="left" vertical="center"/>
    </xf>
    <xf numFmtId="41" fontId="50" fillId="3" borderId="205" xfId="1" applyFont="1" applyFill="1" applyBorder="1" applyAlignment="1">
      <alignment horizontal="left" vertical="center"/>
    </xf>
    <xf numFmtId="41" fontId="49" fillId="3" borderId="130" xfId="1" applyFont="1" applyFill="1" applyBorder="1" applyAlignment="1">
      <alignment horizontal="left" vertical="center"/>
    </xf>
    <xf numFmtId="41" fontId="49" fillId="3" borderId="206" xfId="1" applyFont="1" applyFill="1" applyBorder="1" applyAlignment="1">
      <alignment horizontal="left" vertical="center"/>
    </xf>
    <xf numFmtId="41" fontId="50" fillId="3" borderId="212" xfId="1" applyFont="1" applyFill="1" applyBorder="1" applyAlignment="1">
      <alignment horizontal="left" vertical="center"/>
    </xf>
    <xf numFmtId="41" fontId="49" fillId="3" borderId="213" xfId="1" applyFont="1" applyFill="1" applyBorder="1" applyAlignment="1">
      <alignment horizontal="left" vertical="center"/>
    </xf>
    <xf numFmtId="41" fontId="50" fillId="3" borderId="158" xfId="1" applyFont="1" applyFill="1" applyBorder="1" applyAlignment="1">
      <alignment horizontal="left" vertical="center"/>
    </xf>
    <xf numFmtId="41" fontId="49" fillId="3" borderId="158" xfId="1" applyFont="1" applyFill="1" applyBorder="1" applyAlignment="1">
      <alignment horizontal="left" vertical="center"/>
    </xf>
    <xf numFmtId="41" fontId="50" fillId="3" borderId="213" xfId="1" applyFont="1" applyFill="1" applyBorder="1" applyAlignment="1">
      <alignment horizontal="left" vertical="center"/>
    </xf>
    <xf numFmtId="41" fontId="50" fillId="3" borderId="214" xfId="1" applyFont="1" applyFill="1" applyBorder="1" applyAlignment="1">
      <alignment horizontal="left" vertical="center"/>
    </xf>
    <xf numFmtId="41" fontId="49" fillId="3" borderId="20" xfId="1" applyFont="1" applyFill="1" applyBorder="1" applyAlignment="1">
      <alignment horizontal="left" vertical="center"/>
    </xf>
    <xf numFmtId="41" fontId="49" fillId="3" borderId="201" xfId="1" applyFont="1" applyFill="1" applyBorder="1" applyAlignment="1">
      <alignment horizontal="right" vertical="center" wrapText="1"/>
    </xf>
    <xf numFmtId="0" fontId="49" fillId="3" borderId="202" xfId="1" applyNumberFormat="1" applyFont="1" applyFill="1" applyBorder="1" applyAlignment="1">
      <alignment horizontal="center" vertical="center" wrapText="1"/>
    </xf>
    <xf numFmtId="41" fontId="49" fillId="3" borderId="35" xfId="1" applyFont="1" applyFill="1" applyBorder="1" applyAlignment="1">
      <alignment vertical="center"/>
    </xf>
    <xf numFmtId="12" fontId="49" fillId="3" borderId="201" xfId="1" quotePrefix="1" applyNumberFormat="1" applyFont="1" applyFill="1" applyBorder="1" applyAlignment="1">
      <alignment horizontal="center" vertical="center" wrapText="1"/>
    </xf>
    <xf numFmtId="41" fontId="49" fillId="3" borderId="200" xfId="1" applyFont="1" applyFill="1" applyBorder="1" applyAlignment="1">
      <alignment horizontal="left" vertical="center" wrapText="1"/>
    </xf>
    <xf numFmtId="12" fontId="49" fillId="3" borderId="137" xfId="1" quotePrefix="1" applyNumberFormat="1" applyFont="1" applyFill="1" applyBorder="1" applyAlignment="1">
      <alignment horizontal="center" vertical="center" wrapText="1"/>
    </xf>
    <xf numFmtId="12" fontId="49" fillId="3" borderId="185" xfId="1" quotePrefix="1" applyNumberFormat="1" applyFont="1" applyFill="1" applyBorder="1" applyAlignment="1">
      <alignment horizontal="center" vertical="center" wrapText="1"/>
    </xf>
    <xf numFmtId="41" fontId="49" fillId="3" borderId="114" xfId="1" applyFont="1" applyFill="1" applyBorder="1" applyAlignment="1">
      <alignment vertical="center"/>
    </xf>
    <xf numFmtId="41" fontId="49" fillId="3" borderId="115" xfId="1" applyFont="1" applyFill="1" applyBorder="1" applyAlignment="1">
      <alignment horizontal="right" vertical="center"/>
    </xf>
    <xf numFmtId="41" fontId="49" fillId="3" borderId="183" xfId="1" applyFont="1" applyFill="1" applyBorder="1" applyAlignment="1">
      <alignment vertical="center" wrapText="1"/>
    </xf>
    <xf numFmtId="41" fontId="49" fillId="3" borderId="35" xfId="1" applyFont="1" applyFill="1" applyBorder="1" applyAlignment="1">
      <alignment vertical="center" wrapText="1"/>
    </xf>
    <xf numFmtId="41" fontId="49" fillId="3" borderId="92" xfId="1" applyFont="1" applyFill="1" applyBorder="1" applyAlignment="1">
      <alignment vertical="center" wrapText="1"/>
    </xf>
    <xf numFmtId="41" fontId="50" fillId="3" borderId="19" xfId="1" applyFont="1" applyFill="1" applyBorder="1" applyAlignment="1"/>
    <xf numFmtId="41" fontId="50" fillId="3" borderId="19" xfId="1" applyFont="1" applyFill="1" applyBorder="1" applyAlignment="1">
      <alignment vertical="center" wrapText="1"/>
    </xf>
    <xf numFmtId="41" fontId="50" fillId="3" borderId="35" xfId="1" applyFont="1" applyFill="1" applyBorder="1" applyAlignment="1">
      <alignment vertical="center"/>
    </xf>
    <xf numFmtId="41" fontId="9" fillId="0" borderId="9" xfId="1" applyFont="1" applyFill="1" applyBorder="1" applyAlignment="1">
      <alignment horizontal="center" vertical="center" shrinkToFit="1"/>
    </xf>
    <xf numFmtId="41" fontId="36" fillId="3" borderId="115" xfId="1" applyFont="1" applyFill="1" applyBorder="1" applyAlignment="1"/>
    <xf numFmtId="41" fontId="42" fillId="0" borderId="131" xfId="1" applyFont="1" applyFill="1" applyBorder="1" applyAlignment="1">
      <alignment horizontal="left" vertical="center" indent="1" shrinkToFit="1"/>
    </xf>
    <xf numFmtId="0" fontId="14" fillId="3" borderId="25" xfId="2" applyFill="1" applyBorder="1">
      <alignment vertical="center"/>
    </xf>
    <xf numFmtId="0" fontId="34" fillId="3" borderId="17" xfId="2" applyFont="1" applyFill="1" applyBorder="1">
      <alignment vertical="center"/>
    </xf>
    <xf numFmtId="41" fontId="21" fillId="3" borderId="31" xfId="1" applyFont="1" applyFill="1" applyBorder="1" applyAlignment="1">
      <alignment horizontal="right" vertical="center"/>
    </xf>
    <xf numFmtId="41" fontId="50" fillId="3" borderId="170" xfId="1" applyFont="1" applyFill="1" applyBorder="1" applyAlignment="1">
      <alignment vertical="center"/>
    </xf>
    <xf numFmtId="41" fontId="50" fillId="3" borderId="178" xfId="1" applyFont="1" applyFill="1" applyBorder="1" applyAlignment="1">
      <alignment vertical="center"/>
    </xf>
    <xf numFmtId="41" fontId="50" fillId="3" borderId="216" xfId="1" applyFont="1" applyFill="1" applyBorder="1" applyAlignment="1">
      <alignment horizontal="left" vertical="center"/>
    </xf>
    <xf numFmtId="41" fontId="49" fillId="3" borderId="180" xfId="1" applyFont="1" applyFill="1" applyBorder="1" applyAlignment="1">
      <alignment horizontal="center" vertical="center" wrapText="1"/>
    </xf>
    <xf numFmtId="41" fontId="48" fillId="3" borderId="21" xfId="1" applyFont="1" applyFill="1" applyBorder="1" applyAlignment="1">
      <alignment horizontal="center" vertical="center"/>
    </xf>
    <xf numFmtId="41" fontId="48" fillId="3" borderId="1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horizontal="left" vertical="center"/>
    </xf>
    <xf numFmtId="41" fontId="50" fillId="3" borderId="191" xfId="1" applyFont="1" applyFill="1" applyBorder="1" applyAlignment="1">
      <alignment horizontal="center" vertical="center"/>
    </xf>
    <xf numFmtId="41" fontId="49" fillId="3" borderId="160" xfId="1" applyFont="1" applyFill="1" applyBorder="1" applyAlignment="1">
      <alignment horizontal="left" vertical="center"/>
    </xf>
    <xf numFmtId="41" fontId="49" fillId="3" borderId="114" xfId="1" applyFont="1" applyFill="1" applyBorder="1" applyAlignment="1">
      <alignment horizontal="left" vertical="center"/>
    </xf>
    <xf numFmtId="41" fontId="49" fillId="3" borderId="115" xfId="1" applyFont="1" applyFill="1" applyBorder="1" applyAlignment="1">
      <alignment horizontal="left" vertical="center" wrapText="1"/>
    </xf>
    <xf numFmtId="41" fontId="50" fillId="3" borderId="179" xfId="1" applyFont="1" applyFill="1" applyBorder="1" applyAlignment="1">
      <alignment horizontal="center" vertical="center"/>
    </xf>
    <xf numFmtId="41" fontId="49" fillId="3" borderId="159" xfId="1" applyFont="1" applyFill="1" applyBorder="1" applyAlignment="1">
      <alignment horizontal="left" vertical="center" wrapText="1"/>
    </xf>
    <xf numFmtId="41" fontId="50" fillId="3" borderId="182" xfId="1" applyFont="1" applyFill="1" applyBorder="1" applyAlignment="1">
      <alignment horizontal="left" vertical="center"/>
    </xf>
    <xf numFmtId="41" fontId="49" fillId="3" borderId="161" xfId="1" applyFont="1" applyFill="1" applyBorder="1" applyAlignment="1">
      <alignment vertical="center"/>
    </xf>
    <xf numFmtId="41" fontId="49" fillId="3" borderId="176" xfId="1" applyFont="1" applyFill="1" applyBorder="1" applyAlignment="1">
      <alignment horizontal="left" vertical="center"/>
    </xf>
    <xf numFmtId="41" fontId="50" fillId="3" borderId="137" xfId="1" applyFont="1" applyFill="1" applyBorder="1" applyAlignment="1">
      <alignment horizontal="right" vertical="center" wrapText="1"/>
    </xf>
    <xf numFmtId="41" fontId="49" fillId="3" borderId="137" xfId="1" applyFont="1" applyFill="1" applyBorder="1" applyAlignment="1">
      <alignment horizontal="left" vertical="center"/>
    </xf>
    <xf numFmtId="41" fontId="50" fillId="3" borderId="146" xfId="1" applyFont="1" applyFill="1" applyBorder="1" applyAlignment="1">
      <alignment horizontal="center" vertical="center"/>
    </xf>
    <xf numFmtId="41" fontId="49" fillId="3" borderId="177" xfId="1" applyFont="1" applyFill="1" applyBorder="1" applyAlignment="1">
      <alignment horizontal="left" vertical="center" wrapText="1"/>
    </xf>
    <xf numFmtId="41" fontId="49" fillId="3" borderId="185" xfId="1" applyFont="1" applyFill="1" applyBorder="1" applyAlignment="1">
      <alignment horizontal="left" vertical="center" wrapText="1"/>
    </xf>
    <xf numFmtId="41" fontId="50" fillId="3" borderId="171" xfId="1" applyFont="1" applyFill="1" applyBorder="1" applyAlignment="1">
      <alignment horizontal="center" vertical="center"/>
    </xf>
    <xf numFmtId="41" fontId="49" fillId="3" borderId="131" xfId="1" applyFont="1" applyFill="1" applyBorder="1" applyAlignment="1">
      <alignment horizontal="left" vertical="center" wrapText="1"/>
    </xf>
    <xf numFmtId="41" fontId="49" fillId="3" borderId="176" xfId="1" applyFont="1" applyFill="1" applyBorder="1" applyAlignment="1">
      <alignment horizontal="left" vertical="center" wrapText="1"/>
    </xf>
    <xf numFmtId="41" fontId="50" fillId="3" borderId="171" xfId="1" applyFont="1" applyFill="1" applyBorder="1" applyAlignment="1">
      <alignment vertical="center"/>
    </xf>
    <xf numFmtId="176" fontId="49" fillId="3" borderId="92" xfId="0" applyNumberFormat="1" applyFont="1" applyFill="1" applyBorder="1" applyAlignment="1">
      <alignment vertical="center"/>
    </xf>
    <xf numFmtId="41" fontId="49" fillId="3" borderId="171" xfId="1" applyFont="1" applyFill="1" applyBorder="1" applyAlignment="1">
      <alignment horizontal="center" vertical="center" wrapText="1"/>
    </xf>
    <xf numFmtId="41" fontId="50" fillId="3" borderId="152" xfId="1" applyFont="1" applyFill="1" applyBorder="1" applyAlignment="1">
      <alignment vertical="center" wrapText="1"/>
    </xf>
    <xf numFmtId="176" fontId="49" fillId="3" borderId="135" xfId="0" applyNumberFormat="1" applyFont="1" applyFill="1" applyBorder="1" applyAlignment="1">
      <alignment vertical="center"/>
    </xf>
    <xf numFmtId="176" fontId="49" fillId="3" borderId="135" xfId="0" applyNumberFormat="1" applyFont="1" applyFill="1" applyBorder="1" applyAlignment="1">
      <alignment horizontal="center" vertical="center"/>
    </xf>
    <xf numFmtId="176" fontId="49" fillId="3" borderId="161" xfId="0" applyNumberFormat="1" applyFont="1" applyFill="1" applyBorder="1" applyAlignment="1">
      <alignment vertical="center"/>
    </xf>
    <xf numFmtId="176" fontId="49" fillId="3" borderId="200" xfId="0" applyNumberFormat="1" applyFont="1" applyFill="1" applyBorder="1" applyAlignment="1">
      <alignment vertical="center"/>
    </xf>
    <xf numFmtId="176" fontId="49" fillId="3" borderId="201" xfId="0" applyNumberFormat="1" applyFont="1" applyFill="1" applyBorder="1" applyAlignment="1">
      <alignment vertical="center"/>
    </xf>
    <xf numFmtId="176" fontId="49" fillId="3" borderId="201" xfId="0" applyNumberFormat="1" applyFont="1" applyFill="1" applyBorder="1" applyAlignment="1">
      <alignment horizontal="center" vertical="center"/>
    </xf>
    <xf numFmtId="176" fontId="49" fillId="3" borderId="201" xfId="0" applyNumberFormat="1" applyFont="1" applyFill="1" applyBorder="1" applyAlignment="1">
      <alignment horizontal="center" vertical="center" wrapText="1"/>
    </xf>
    <xf numFmtId="176" fontId="50" fillId="3" borderId="202" xfId="0" applyNumberFormat="1" applyFont="1" applyFill="1" applyBorder="1" applyAlignment="1">
      <alignment vertical="center"/>
    </xf>
    <xf numFmtId="176" fontId="49" fillId="3" borderId="176" xfId="0" applyNumberFormat="1" applyFont="1" applyFill="1" applyBorder="1" applyAlignment="1">
      <alignment vertical="center"/>
    </xf>
    <xf numFmtId="176" fontId="49" fillId="3" borderId="176" xfId="0" applyNumberFormat="1" applyFont="1" applyFill="1" applyBorder="1" applyAlignment="1">
      <alignment horizontal="center" vertical="center"/>
    </xf>
    <xf numFmtId="176" fontId="49" fillId="3" borderId="178" xfId="0" applyNumberFormat="1" applyFont="1" applyFill="1" applyBorder="1" applyAlignment="1">
      <alignment vertical="center"/>
    </xf>
    <xf numFmtId="176" fontId="49" fillId="3" borderId="164" xfId="0" applyNumberFormat="1" applyFont="1" applyFill="1" applyBorder="1" applyAlignment="1">
      <alignment vertical="center"/>
    </xf>
    <xf numFmtId="176" fontId="49" fillId="3" borderId="137" xfId="0" applyNumberFormat="1" applyFont="1" applyFill="1" applyBorder="1" applyAlignment="1">
      <alignment vertical="center"/>
    </xf>
    <xf numFmtId="176" fontId="49" fillId="3" borderId="137" xfId="0" applyNumberFormat="1" applyFont="1" applyFill="1" applyBorder="1" applyAlignment="1">
      <alignment horizontal="center" vertical="center"/>
    </xf>
    <xf numFmtId="176" fontId="49" fillId="3" borderId="170" xfId="0" applyNumberFormat="1" applyFont="1" applyFill="1" applyBorder="1" applyAlignment="1">
      <alignment vertical="center"/>
    </xf>
    <xf numFmtId="41" fontId="50" fillId="3" borderId="135" xfId="1" applyFont="1" applyFill="1" applyBorder="1" applyAlignment="1">
      <alignment horizontal="center" vertical="center" wrapText="1"/>
    </xf>
    <xf numFmtId="41" fontId="49" fillId="3" borderId="109" xfId="1" applyFont="1" applyFill="1" applyBorder="1" applyAlignment="1">
      <alignment horizontal="center" vertical="center"/>
    </xf>
    <xf numFmtId="41" fontId="49" fillId="3" borderId="21" xfId="1" applyFont="1" applyFill="1" applyBorder="1" applyAlignment="1">
      <alignment horizontal="center"/>
    </xf>
    <xf numFmtId="41" fontId="49" fillId="3" borderId="149" xfId="1" applyFont="1" applyFill="1" applyBorder="1" applyAlignment="1">
      <alignment horizontal="center" vertical="center" wrapText="1"/>
    </xf>
    <xf numFmtId="41" fontId="49" fillId="3" borderId="94" xfId="1" applyFont="1" applyFill="1" applyBorder="1" applyAlignment="1">
      <alignment horizontal="center" vertical="center" wrapText="1"/>
    </xf>
    <xf numFmtId="41" fontId="49" fillId="3" borderId="1" xfId="1" applyFont="1" applyFill="1" applyBorder="1" applyAlignment="1">
      <alignment horizontal="center" vertical="center" wrapText="1"/>
    </xf>
    <xf numFmtId="41" fontId="50" fillId="3" borderId="111" xfId="1" applyFont="1" applyFill="1" applyBorder="1" applyAlignment="1">
      <alignment horizontal="center" vertical="center" wrapText="1"/>
    </xf>
    <xf numFmtId="41" fontId="50" fillId="3" borderId="166" xfId="1" applyFont="1" applyFill="1" applyBorder="1" applyAlignment="1">
      <alignment horizontal="center" vertical="center" wrapText="1"/>
    </xf>
    <xf numFmtId="41" fontId="48" fillId="3" borderId="135" xfId="1" applyFont="1" applyFill="1" applyBorder="1" applyAlignment="1">
      <alignment horizontal="center"/>
    </xf>
    <xf numFmtId="41" fontId="50" fillId="3" borderId="185" xfId="1" applyFont="1" applyFill="1" applyBorder="1" applyAlignment="1">
      <alignment horizontal="center" vertical="center"/>
    </xf>
    <xf numFmtId="41" fontId="36" fillId="3" borderId="131" xfId="1" applyFont="1" applyFill="1" applyBorder="1" applyAlignment="1">
      <alignment horizontal="center"/>
    </xf>
    <xf numFmtId="41" fontId="36" fillId="3" borderId="115" xfId="1" applyFont="1" applyFill="1" applyBorder="1" applyAlignment="1">
      <alignment horizontal="center"/>
    </xf>
    <xf numFmtId="41" fontId="36" fillId="3" borderId="176" xfId="1" applyFont="1" applyFill="1" applyBorder="1" applyAlignment="1">
      <alignment horizontal="center"/>
    </xf>
    <xf numFmtId="41" fontId="49" fillId="3" borderId="60" xfId="1" applyFont="1" applyFill="1" applyBorder="1" applyAlignment="1">
      <alignment horizontal="center" vertical="center"/>
    </xf>
    <xf numFmtId="41" fontId="0" fillId="3" borderId="0" xfId="1" applyFont="1" applyFill="1" applyAlignment="1">
      <alignment horizontal="center"/>
    </xf>
    <xf numFmtId="41" fontId="0" fillId="12" borderId="0" xfId="1" applyFont="1" applyFill="1" applyAlignment="1">
      <alignment horizontal="center"/>
    </xf>
    <xf numFmtId="176" fontId="49" fillId="3" borderId="184" xfId="0" applyNumberFormat="1" applyFont="1" applyFill="1" applyBorder="1" applyAlignment="1">
      <alignment vertical="center"/>
    </xf>
    <xf numFmtId="176" fontId="49" fillId="3" borderId="185" xfId="0" applyNumberFormat="1" applyFont="1" applyFill="1" applyBorder="1" applyAlignment="1">
      <alignment vertical="center"/>
    </xf>
    <xf numFmtId="176" fontId="49" fillId="3" borderId="185" xfId="0" applyNumberFormat="1" applyFont="1" applyFill="1" applyBorder="1" applyAlignment="1">
      <alignment horizontal="center" vertical="center"/>
    </xf>
    <xf numFmtId="41" fontId="49" fillId="3" borderId="37" xfId="1" applyFont="1" applyFill="1" applyBorder="1" applyAlignment="1">
      <alignment horizontal="center" vertical="center"/>
    </xf>
    <xf numFmtId="41" fontId="49" fillId="3" borderId="36" xfId="1" applyFont="1" applyFill="1" applyBorder="1" applyAlignment="1">
      <alignment horizontal="center"/>
    </xf>
    <xf numFmtId="41" fontId="49" fillId="3" borderId="81" xfId="1" applyFont="1" applyFill="1" applyBorder="1" applyAlignment="1">
      <alignment horizontal="center"/>
    </xf>
    <xf numFmtId="41" fontId="49" fillId="3" borderId="16" xfId="1" applyFont="1" applyFill="1" applyBorder="1" applyAlignment="1">
      <alignment horizontal="center" vertical="center"/>
    </xf>
    <xf numFmtId="176" fontId="49" fillId="3" borderId="185" xfId="0" applyNumberFormat="1" applyFont="1" applyFill="1" applyBorder="1" applyAlignment="1">
      <alignment horizontal="center" vertical="center" wrapText="1"/>
    </xf>
    <xf numFmtId="176" fontId="50" fillId="3" borderId="186" xfId="0" applyNumberFormat="1" applyFont="1" applyFill="1" applyBorder="1" applyAlignment="1">
      <alignment vertical="center"/>
    </xf>
    <xf numFmtId="41" fontId="49" fillId="3" borderId="171" xfId="1" applyFont="1" applyFill="1" applyBorder="1" applyAlignment="1">
      <alignment vertical="center" wrapText="1"/>
    </xf>
    <xf numFmtId="41" fontId="33" fillId="8" borderId="11" xfId="1" applyFont="1" applyFill="1" applyBorder="1" applyAlignment="1">
      <alignment vertical="center" shrinkToFit="1"/>
    </xf>
    <xf numFmtId="41" fontId="33" fillId="3" borderId="208" xfId="1" applyFont="1" applyFill="1" applyBorder="1" applyAlignment="1">
      <alignment vertical="center" shrinkToFit="1"/>
    </xf>
    <xf numFmtId="41" fontId="33" fillId="4" borderId="9" xfId="1" applyFont="1" applyFill="1" applyBorder="1" applyAlignment="1">
      <alignment vertical="center" shrinkToFit="1"/>
    </xf>
    <xf numFmtId="41" fontId="33" fillId="8" borderId="37" xfId="1" applyFont="1" applyFill="1" applyBorder="1" applyAlignment="1">
      <alignment vertical="center" shrinkToFit="1"/>
    </xf>
    <xf numFmtId="41" fontId="33" fillId="3" borderId="210" xfId="1" applyFont="1" applyFill="1" applyBorder="1" applyAlignment="1">
      <alignment vertical="center" shrinkToFit="1"/>
    </xf>
    <xf numFmtId="41" fontId="33" fillId="8" borderId="9" xfId="1" applyFont="1" applyFill="1" applyBorder="1" applyAlignment="1">
      <alignment vertical="center" shrinkToFit="1"/>
    </xf>
    <xf numFmtId="41" fontId="33" fillId="8" borderId="12" xfId="1" applyFont="1" applyFill="1" applyBorder="1" applyAlignment="1">
      <alignment vertical="center" shrinkToFit="1"/>
    </xf>
    <xf numFmtId="41" fontId="42" fillId="4" borderId="145" xfId="1" applyFont="1" applyFill="1" applyBorder="1" applyAlignment="1">
      <alignment vertical="center" shrinkToFit="1"/>
    </xf>
    <xf numFmtId="41" fontId="42" fillId="5" borderId="132" xfId="1" applyFont="1" applyFill="1" applyBorder="1" applyAlignment="1">
      <alignment vertical="center" shrinkToFit="1"/>
    </xf>
    <xf numFmtId="41" fontId="42" fillId="6" borderId="132" xfId="1" applyFont="1" applyFill="1" applyBorder="1" applyAlignment="1">
      <alignment vertical="center" shrinkToFit="1"/>
    </xf>
    <xf numFmtId="41" fontId="42" fillId="7" borderId="132" xfId="1" applyFont="1" applyFill="1" applyBorder="1" applyAlignment="1">
      <alignment vertical="center" shrinkToFit="1"/>
    </xf>
    <xf numFmtId="41" fontId="42" fillId="6" borderId="131" xfId="1" applyFont="1" applyFill="1" applyBorder="1" applyAlignment="1">
      <alignment vertical="center" shrinkToFit="1"/>
    </xf>
    <xf numFmtId="41" fontId="42" fillId="6" borderId="45" xfId="1" applyFont="1" applyFill="1" applyBorder="1" applyAlignment="1">
      <alignment vertical="center" shrinkToFit="1"/>
    </xf>
    <xf numFmtId="41" fontId="42" fillId="4" borderId="129" xfId="1" applyFont="1" applyFill="1" applyBorder="1" applyAlignment="1">
      <alignment vertical="center" shrinkToFit="1"/>
    </xf>
    <xf numFmtId="41" fontId="42" fillId="5" borderId="134" xfId="1" applyFont="1" applyFill="1" applyBorder="1" applyAlignment="1">
      <alignment vertical="center" shrinkToFit="1"/>
    </xf>
    <xf numFmtId="41" fontId="42" fillId="6" borderId="134" xfId="1" applyFont="1" applyFill="1" applyBorder="1" applyAlignment="1">
      <alignment vertical="center" shrinkToFit="1"/>
    </xf>
    <xf numFmtId="41" fontId="42" fillId="7" borderId="134" xfId="1" applyFont="1" applyFill="1" applyBorder="1" applyAlignment="1">
      <alignment vertical="center" shrinkToFit="1"/>
    </xf>
    <xf numFmtId="41" fontId="42" fillId="0" borderId="134" xfId="1" applyFont="1" applyFill="1" applyBorder="1" applyAlignment="1">
      <alignment vertical="center" shrinkToFit="1"/>
    </xf>
    <xf numFmtId="41" fontId="42" fillId="0" borderId="144" xfId="1" applyFont="1" applyFill="1" applyBorder="1" applyAlignment="1">
      <alignment vertical="center" shrinkToFit="1"/>
    </xf>
    <xf numFmtId="41" fontId="42" fillId="0" borderId="141" xfId="1" applyFont="1" applyFill="1" applyBorder="1" applyAlignment="1">
      <alignment vertical="center" shrinkToFit="1"/>
    </xf>
    <xf numFmtId="41" fontId="49" fillId="3" borderId="1" xfId="1" applyFont="1" applyFill="1" applyBorder="1" applyAlignment="1">
      <alignment horizontal="center" vertical="center"/>
    </xf>
    <xf numFmtId="41" fontId="50" fillId="3" borderId="70" xfId="1" applyFont="1" applyFill="1" applyBorder="1" applyAlignment="1">
      <alignment vertical="center"/>
    </xf>
    <xf numFmtId="41" fontId="49" fillId="3" borderId="35" xfId="1" applyFont="1" applyFill="1" applyBorder="1" applyAlignment="1">
      <alignment horizontal="center" vertical="center"/>
    </xf>
    <xf numFmtId="41" fontId="9" fillId="0" borderId="106" xfId="1" applyFont="1" applyBorder="1" applyAlignment="1">
      <alignment horizontal="center" vertical="center" shrinkToFit="1"/>
    </xf>
    <xf numFmtId="41" fontId="49" fillId="3" borderId="8" xfId="1" applyFont="1" applyFill="1" applyBorder="1" applyAlignment="1">
      <alignment vertical="center"/>
    </xf>
    <xf numFmtId="41" fontId="49" fillId="3" borderId="114" xfId="1" applyFont="1" applyFill="1" applyBorder="1" applyAlignment="1">
      <alignment horizontal="left" vertical="center" wrapText="1"/>
    </xf>
    <xf numFmtId="0" fontId="49" fillId="3" borderId="116" xfId="3" applyNumberFormat="1" applyFont="1" applyFill="1" applyBorder="1" applyAlignment="1">
      <alignment horizontal="center" vertical="center" wrapText="1"/>
    </xf>
    <xf numFmtId="41" fontId="49" fillId="3" borderId="187" xfId="1" applyFont="1" applyFill="1" applyBorder="1" applyAlignment="1">
      <alignment horizontal="center" vertical="center"/>
    </xf>
    <xf numFmtId="41" fontId="49" fillId="3" borderId="183" xfId="1" applyFont="1" applyFill="1" applyBorder="1" applyAlignment="1">
      <alignment horizontal="left" vertical="center"/>
    </xf>
    <xf numFmtId="41" fontId="49" fillId="3" borderId="163" xfId="1" applyFont="1" applyFill="1" applyBorder="1" applyAlignment="1">
      <alignment horizontal="center" vertical="center"/>
    </xf>
    <xf numFmtId="41" fontId="36" fillId="3" borderId="135" xfId="1" applyFont="1" applyFill="1" applyBorder="1" applyAlignment="1">
      <alignment horizontal="center" vertical="center"/>
    </xf>
    <xf numFmtId="41" fontId="50" fillId="3" borderId="153" xfId="1" applyFont="1" applyFill="1" applyBorder="1" applyAlignment="1">
      <alignment horizontal="left" vertical="center"/>
    </xf>
    <xf numFmtId="41" fontId="49" fillId="3" borderId="134" xfId="1" applyFont="1" applyFill="1" applyBorder="1" applyAlignment="1">
      <alignment vertical="center"/>
    </xf>
    <xf numFmtId="176" fontId="50" fillId="3" borderId="184" xfId="0" applyNumberFormat="1" applyFont="1" applyFill="1" applyBorder="1" applyAlignment="1">
      <alignment vertical="center"/>
    </xf>
    <xf numFmtId="176" fontId="49" fillId="3" borderId="183" xfId="0" applyNumberFormat="1" applyFont="1" applyFill="1" applyBorder="1" applyAlignment="1">
      <alignment vertical="center"/>
    </xf>
    <xf numFmtId="176" fontId="49" fillId="3" borderId="114" xfId="0" applyNumberFormat="1" applyFont="1" applyFill="1" applyBorder="1" applyAlignment="1">
      <alignment vertical="center"/>
    </xf>
    <xf numFmtId="41" fontId="50" fillId="3" borderId="163" xfId="1" applyFont="1" applyFill="1" applyBorder="1" applyAlignment="1">
      <alignment vertical="center"/>
    </xf>
    <xf numFmtId="176" fontId="49" fillId="3" borderId="160" xfId="0" applyNumberFormat="1" applyFont="1" applyFill="1" applyBorder="1" applyAlignment="1">
      <alignment vertical="center"/>
    </xf>
    <xf numFmtId="176" fontId="49" fillId="3" borderId="154" xfId="0" applyNumberFormat="1" applyFont="1" applyFill="1" applyBorder="1" applyAlignment="1">
      <alignment vertical="center"/>
    </xf>
    <xf numFmtId="176" fontId="50" fillId="3" borderId="182" xfId="0" applyNumberFormat="1" applyFont="1" applyFill="1" applyBorder="1" applyAlignment="1">
      <alignment horizontal="left" vertical="center"/>
    </xf>
    <xf numFmtId="41" fontId="50" fillId="3" borderId="137" xfId="1" applyFont="1" applyFill="1" applyBorder="1" applyAlignment="1">
      <alignment horizontal="center" vertical="center"/>
    </xf>
    <xf numFmtId="41" fontId="50" fillId="3" borderId="184" xfId="1" applyFont="1" applyFill="1" applyBorder="1" applyAlignment="1">
      <alignment horizontal="left" vertical="center"/>
    </xf>
    <xf numFmtId="41" fontId="49" fillId="3" borderId="66" xfId="1" applyFont="1" applyFill="1" applyBorder="1" applyAlignment="1">
      <alignment vertical="center"/>
    </xf>
    <xf numFmtId="41" fontId="49" fillId="3" borderId="217" xfId="1" applyFont="1" applyFill="1" applyBorder="1" applyAlignment="1">
      <alignment horizontal="center" vertical="center"/>
    </xf>
    <xf numFmtId="41" fontId="49" fillId="3" borderId="218" xfId="1" applyFont="1" applyFill="1" applyBorder="1" applyAlignment="1">
      <alignment horizontal="left" vertical="center" wrapText="1"/>
    </xf>
    <xf numFmtId="41" fontId="49" fillId="3" borderId="219" xfId="1" applyFont="1" applyFill="1" applyBorder="1" applyAlignment="1">
      <alignment vertical="center" wrapText="1"/>
    </xf>
    <xf numFmtId="12" fontId="49" fillId="3" borderId="219" xfId="1" quotePrefix="1" applyNumberFormat="1" applyFont="1" applyFill="1" applyBorder="1" applyAlignment="1">
      <alignment horizontal="center" vertical="center" wrapText="1"/>
    </xf>
    <xf numFmtId="41" fontId="49" fillId="3" borderId="219" xfId="1" applyFont="1" applyFill="1" applyBorder="1" applyAlignment="1">
      <alignment horizontal="center" vertical="center" wrapText="1"/>
    </xf>
    <xf numFmtId="0" fontId="49" fillId="3" borderId="217" xfId="1" applyNumberFormat="1" applyFont="1" applyFill="1" applyBorder="1" applyAlignment="1">
      <alignment horizontal="center" vertical="center" wrapText="1"/>
    </xf>
    <xf numFmtId="41" fontId="49" fillId="0" borderId="191" xfId="1" applyFont="1" applyFill="1" applyBorder="1" applyAlignment="1">
      <alignment horizontal="center" vertical="center"/>
    </xf>
    <xf numFmtId="41" fontId="49" fillId="3" borderId="100" xfId="1" applyFont="1" applyFill="1" applyBorder="1" applyAlignment="1">
      <alignment horizontal="center" vertical="center"/>
    </xf>
    <xf numFmtId="3" fontId="52" fillId="0" borderId="0" xfId="0" applyNumberFormat="1" applyFont="1"/>
    <xf numFmtId="0" fontId="19" fillId="0" borderId="17" xfId="2" applyFont="1" applyBorder="1" applyAlignment="1">
      <alignment horizontal="left" vertical="center"/>
    </xf>
    <xf numFmtId="0" fontId="33" fillId="3" borderId="104" xfId="2" applyFont="1" applyFill="1" applyBorder="1" applyAlignment="1">
      <alignment horizontal="center" vertical="center" shrinkToFit="1"/>
    </xf>
    <xf numFmtId="0" fontId="33" fillId="3" borderId="96" xfId="2" applyFont="1" applyFill="1" applyBorder="1" applyAlignment="1">
      <alignment horizontal="center" vertical="center" shrinkToFit="1"/>
    </xf>
    <xf numFmtId="0" fontId="30" fillId="3" borderId="0" xfId="2" applyFont="1" applyFill="1" applyAlignment="1">
      <alignment horizontal="center" vertical="center"/>
    </xf>
    <xf numFmtId="0" fontId="32" fillId="3" borderId="0" xfId="2" applyFont="1" applyFill="1" applyAlignment="1">
      <alignment horizontal="left" vertical="center"/>
    </xf>
    <xf numFmtId="0" fontId="33" fillId="3" borderId="87" xfId="2" applyFont="1" applyFill="1" applyBorder="1" applyAlignment="1">
      <alignment horizontal="center" vertical="center" shrinkToFit="1"/>
    </xf>
    <xf numFmtId="0" fontId="33" fillId="3" borderId="88" xfId="2" applyFont="1" applyFill="1" applyBorder="1" applyAlignment="1">
      <alignment horizontal="center" vertical="center" shrinkToFit="1"/>
    </xf>
    <xf numFmtId="0" fontId="33" fillId="3" borderId="5" xfId="2" applyFont="1" applyFill="1" applyBorder="1" applyAlignment="1">
      <alignment horizontal="center" vertical="center" shrinkToFit="1"/>
    </xf>
    <xf numFmtId="0" fontId="33" fillId="3" borderId="89" xfId="2" applyFont="1" applyFill="1" applyBorder="1" applyAlignment="1">
      <alignment horizontal="center" vertical="center" shrinkToFit="1"/>
    </xf>
    <xf numFmtId="0" fontId="33" fillId="3" borderId="103" xfId="2" applyFont="1" applyFill="1" applyBorder="1" applyAlignment="1">
      <alignment horizontal="center" vertical="center" shrinkToFit="1"/>
    </xf>
    <xf numFmtId="0" fontId="33" fillId="3" borderId="106" xfId="2" applyFont="1" applyFill="1" applyBorder="1" applyAlignment="1">
      <alignment horizontal="center" vertical="center" shrinkToFit="1"/>
    </xf>
    <xf numFmtId="0" fontId="33" fillId="4" borderId="103" xfId="2" applyFont="1" applyFill="1" applyBorder="1" applyAlignment="1">
      <alignment horizontal="center" vertical="center" shrinkToFit="1"/>
    </xf>
    <xf numFmtId="0" fontId="33" fillId="4" borderId="106" xfId="2" applyFont="1" applyFill="1" applyBorder="1" applyAlignment="1">
      <alignment horizontal="center" vertical="center" shrinkToFit="1"/>
    </xf>
    <xf numFmtId="0" fontId="33" fillId="3" borderId="51" xfId="2" applyFont="1" applyFill="1" applyBorder="1" applyAlignment="1">
      <alignment horizontal="center" vertical="center" shrinkToFit="1"/>
    </xf>
    <xf numFmtId="0" fontId="33" fillId="3" borderId="105" xfId="2" applyFont="1" applyFill="1" applyBorder="1" applyAlignment="1">
      <alignment horizontal="center" vertical="center" shrinkToFit="1"/>
    </xf>
    <xf numFmtId="0" fontId="33" fillId="3" borderId="26" xfId="2" applyFont="1" applyFill="1" applyBorder="1" applyAlignment="1">
      <alignment horizontal="center" vertical="center" shrinkToFit="1"/>
    </xf>
    <xf numFmtId="0" fontId="33" fillId="3" borderId="101" xfId="2" applyFont="1" applyFill="1" applyBorder="1" applyAlignment="1">
      <alignment horizontal="center" vertical="center" shrinkToFit="1"/>
    </xf>
    <xf numFmtId="0" fontId="33" fillId="3" borderId="7" xfId="2" applyFont="1" applyFill="1" applyBorder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45" fillId="0" borderId="0" xfId="2" applyFont="1" applyAlignment="1">
      <alignment horizontal="left" vertical="center"/>
    </xf>
    <xf numFmtId="0" fontId="42" fillId="0" borderId="108" xfId="2" applyFont="1" applyBorder="1" applyAlignment="1">
      <alignment horizontal="center" vertical="center" shrinkToFit="1"/>
    </xf>
    <xf numFmtId="0" fontId="42" fillId="0" borderId="109" xfId="2" applyFont="1" applyBorder="1" applyAlignment="1">
      <alignment horizontal="center" vertical="center" shrinkToFit="1"/>
    </xf>
    <xf numFmtId="0" fontId="42" fillId="0" borderId="151" xfId="2" applyFont="1" applyBorder="1" applyAlignment="1">
      <alignment horizontal="center" vertical="center" shrinkToFit="1"/>
    </xf>
    <xf numFmtId="0" fontId="42" fillId="0" borderId="110" xfId="2" applyFont="1" applyBorder="1" applyAlignment="1">
      <alignment horizontal="center" vertical="center" shrinkToFit="1"/>
    </xf>
    <xf numFmtId="0" fontId="42" fillId="0" borderId="111" xfId="2" applyFont="1" applyBorder="1" applyAlignment="1">
      <alignment horizontal="center" vertical="center" shrinkToFit="1"/>
    </xf>
    <xf numFmtId="0" fontId="42" fillId="0" borderId="112" xfId="2" applyFont="1" applyBorder="1" applyAlignment="1">
      <alignment horizontal="center" vertical="center" shrinkToFit="1"/>
    </xf>
    <xf numFmtId="0" fontId="42" fillId="0" borderId="113" xfId="2" applyFont="1" applyBorder="1" applyAlignment="1">
      <alignment horizontal="center" vertical="center" shrinkToFit="1"/>
    </xf>
    <xf numFmtId="0" fontId="42" fillId="0" borderId="114" xfId="2" applyFont="1" applyBorder="1" applyAlignment="1">
      <alignment horizontal="center" vertical="center" shrinkToFit="1"/>
    </xf>
    <xf numFmtId="0" fontId="42" fillId="0" borderId="119" xfId="2" applyFont="1" applyBorder="1" applyAlignment="1">
      <alignment horizontal="center" vertical="center" shrinkToFit="1"/>
    </xf>
    <xf numFmtId="0" fontId="42" fillId="0" borderId="115" xfId="2" applyFont="1" applyBorder="1" applyAlignment="1">
      <alignment horizontal="center" vertical="center" shrinkToFit="1"/>
    </xf>
    <xf numFmtId="0" fontId="42" fillId="0" borderId="120" xfId="2" applyFont="1" applyBorder="1" applyAlignment="1">
      <alignment horizontal="center" vertical="center" shrinkToFit="1"/>
    </xf>
    <xf numFmtId="41" fontId="42" fillId="0" borderId="115" xfId="1" applyFont="1" applyFill="1" applyBorder="1" applyAlignment="1">
      <alignment horizontal="center" vertical="center" shrinkToFit="1"/>
    </xf>
    <xf numFmtId="41" fontId="42" fillId="0" borderId="120" xfId="1" applyFont="1" applyFill="1" applyBorder="1" applyAlignment="1">
      <alignment horizontal="center" vertical="center" shrinkToFit="1"/>
    </xf>
    <xf numFmtId="41" fontId="42" fillId="0" borderId="116" xfId="1" applyFont="1" applyFill="1" applyBorder="1" applyAlignment="1">
      <alignment horizontal="center" vertical="center" shrinkToFit="1"/>
    </xf>
    <xf numFmtId="41" fontId="42" fillId="0" borderId="121" xfId="1" applyFont="1" applyFill="1" applyBorder="1" applyAlignment="1">
      <alignment horizontal="center" vertical="center" shrinkToFit="1"/>
    </xf>
    <xf numFmtId="41" fontId="42" fillId="0" borderId="100" xfId="1" applyFont="1" applyFill="1" applyBorder="1" applyAlignment="1">
      <alignment horizontal="center" vertical="center" shrinkToFit="1"/>
    </xf>
    <xf numFmtId="41" fontId="42" fillId="0" borderId="125" xfId="1" applyFont="1" applyFill="1" applyBorder="1" applyAlignment="1">
      <alignment horizontal="center" vertical="center" shrinkToFit="1"/>
    </xf>
    <xf numFmtId="41" fontId="42" fillId="0" borderId="55" xfId="1" applyFont="1" applyFill="1" applyBorder="1" applyAlignment="1">
      <alignment horizontal="center" vertical="center" shrinkToFit="1"/>
    </xf>
    <xf numFmtId="41" fontId="42" fillId="0" borderId="124" xfId="1" applyFont="1" applyFill="1" applyBorder="1" applyAlignment="1">
      <alignment horizontal="center" vertical="center" shrinkToFit="1"/>
    </xf>
    <xf numFmtId="41" fontId="42" fillId="0" borderId="117" xfId="1" applyFont="1" applyFill="1" applyBorder="1" applyAlignment="1">
      <alignment horizontal="center" vertical="center" shrinkToFit="1"/>
    </xf>
    <xf numFmtId="41" fontId="42" fillId="0" borderId="122" xfId="1" applyFont="1" applyFill="1" applyBorder="1" applyAlignment="1">
      <alignment horizontal="center" vertical="center" shrinkToFit="1"/>
    </xf>
    <xf numFmtId="0" fontId="42" fillId="0" borderId="118" xfId="2" applyFont="1" applyBorder="1" applyAlignment="1">
      <alignment horizontal="center" vertical="center" shrinkToFit="1"/>
    </xf>
    <xf numFmtId="0" fontId="42" fillId="0" borderId="123" xfId="2" applyFont="1" applyBorder="1" applyAlignment="1">
      <alignment horizontal="center" vertical="center" shrinkToFit="1"/>
    </xf>
    <xf numFmtId="0" fontId="42" fillId="4" borderId="126" xfId="2" applyFont="1" applyFill="1" applyBorder="1" applyAlignment="1">
      <alignment horizontal="center" vertical="center" shrinkToFit="1"/>
    </xf>
    <xf numFmtId="0" fontId="42" fillId="4" borderId="127" xfId="2" applyFont="1" applyFill="1" applyBorder="1" applyAlignment="1">
      <alignment horizontal="center" vertical="center" shrinkToFit="1"/>
    </xf>
    <xf numFmtId="0" fontId="42" fillId="4" borderId="128" xfId="2" applyFont="1" applyFill="1" applyBorder="1" applyAlignment="1">
      <alignment horizontal="center" vertical="center" shrinkToFit="1"/>
    </xf>
    <xf numFmtId="0" fontId="42" fillId="4" borderId="129" xfId="2" applyFont="1" applyFill="1" applyBorder="1" applyAlignment="1">
      <alignment horizontal="center" vertical="center" shrinkToFit="1"/>
    </xf>
    <xf numFmtId="0" fontId="42" fillId="5" borderId="44" xfId="2" applyFont="1" applyFill="1" applyBorder="1" applyAlignment="1">
      <alignment horizontal="center" vertical="center" shrinkToFit="1"/>
    </xf>
    <xf numFmtId="0" fontId="42" fillId="5" borderId="45" xfId="2" applyFont="1" applyFill="1" applyBorder="1" applyAlignment="1">
      <alignment horizontal="center" vertical="center" shrinkToFit="1"/>
    </xf>
    <xf numFmtId="0" fontId="42" fillId="5" borderId="130" xfId="2" applyFont="1" applyFill="1" applyBorder="1" applyAlignment="1">
      <alignment horizontal="center" vertical="center" shrinkToFit="1"/>
    </xf>
    <xf numFmtId="0" fontId="42" fillId="5" borderId="133" xfId="2" applyFont="1" applyFill="1" applyBorder="1" applyAlignment="1">
      <alignment horizontal="center" vertical="center" shrinkToFit="1"/>
    </xf>
    <xf numFmtId="0" fontId="42" fillId="5" borderId="131" xfId="2" applyFont="1" applyFill="1" applyBorder="1" applyAlignment="1">
      <alignment horizontal="center" vertical="center" shrinkToFit="1"/>
    </xf>
    <xf numFmtId="0" fontId="42" fillId="0" borderId="131" xfId="2" applyFont="1" applyBorder="1" applyAlignment="1">
      <alignment horizontal="center" vertical="center" shrinkToFit="1"/>
    </xf>
    <xf numFmtId="0" fontId="42" fillId="6" borderId="132" xfId="2" applyFont="1" applyFill="1" applyBorder="1" applyAlignment="1">
      <alignment horizontal="center" vertical="center" shrinkToFit="1"/>
    </xf>
    <xf numFmtId="0" fontId="42" fillId="6" borderId="130" xfId="2" applyFont="1" applyFill="1" applyBorder="1" applyAlignment="1">
      <alignment horizontal="center" vertical="center" shrinkToFit="1"/>
    </xf>
    <xf numFmtId="0" fontId="42" fillId="6" borderId="131" xfId="2" applyFont="1" applyFill="1" applyBorder="1" applyAlignment="1">
      <alignment horizontal="center" vertical="center" shrinkToFit="1"/>
    </xf>
    <xf numFmtId="0" fontId="22" fillId="5" borderId="133" xfId="0" applyFont="1" applyFill="1" applyBorder="1" applyAlignment="1">
      <alignment horizontal="center" vertical="center"/>
    </xf>
    <xf numFmtId="0" fontId="22" fillId="5" borderId="131" xfId="0" applyFont="1" applyFill="1" applyBorder="1" applyAlignment="1">
      <alignment horizontal="center" vertical="center"/>
    </xf>
    <xf numFmtId="0" fontId="42" fillId="5" borderId="133" xfId="2" applyFont="1" applyFill="1" applyBorder="1" applyAlignment="1">
      <alignment horizontal="center" vertical="center" wrapText="1" shrinkToFit="1"/>
    </xf>
    <xf numFmtId="0" fontId="42" fillId="5" borderId="131" xfId="2" applyFont="1" applyFill="1" applyBorder="1" applyAlignment="1">
      <alignment horizontal="center" vertical="center" wrapText="1" shrinkToFit="1"/>
    </xf>
    <xf numFmtId="0" fontId="42" fillId="5" borderId="215" xfId="2" applyFont="1" applyFill="1" applyBorder="1" applyAlignment="1">
      <alignment horizontal="center" vertical="center" shrinkToFit="1"/>
    </xf>
    <xf numFmtId="41" fontId="23" fillId="0" borderId="25" xfId="1" applyFont="1" applyBorder="1" applyAlignment="1">
      <alignment horizontal="left" vertical="center"/>
    </xf>
    <xf numFmtId="41" fontId="23" fillId="0" borderId="17" xfId="1" applyFont="1" applyBorder="1" applyAlignment="1">
      <alignment horizontal="left" vertical="center"/>
    </xf>
    <xf numFmtId="41" fontId="7" fillId="3" borderId="45" xfId="1" applyFont="1" applyFill="1" applyBorder="1" applyAlignment="1">
      <alignment horizontal="left" vertical="center" wrapText="1"/>
    </xf>
    <xf numFmtId="41" fontId="7" fillId="3" borderId="46" xfId="1" applyFont="1" applyFill="1" applyBorder="1" applyAlignment="1">
      <alignment horizontal="left" vertical="center" wrapText="1"/>
    </xf>
    <xf numFmtId="41" fontId="7" fillId="3" borderId="39" xfId="1" applyFont="1" applyFill="1" applyBorder="1" applyAlignment="1">
      <alignment horizontal="left" vertical="center" wrapText="1"/>
    </xf>
    <xf numFmtId="41" fontId="7" fillId="3" borderId="40" xfId="1" applyFont="1" applyFill="1" applyBorder="1" applyAlignment="1">
      <alignment horizontal="left" vertical="center" wrapText="1"/>
    </xf>
    <xf numFmtId="41" fontId="7" fillId="3" borderId="59" xfId="1" applyFont="1" applyFill="1" applyBorder="1" applyAlignment="1">
      <alignment horizontal="left" vertical="center" wrapText="1"/>
    </xf>
    <xf numFmtId="41" fontId="7" fillId="3" borderId="60" xfId="1" applyFont="1" applyFill="1" applyBorder="1" applyAlignment="1">
      <alignment horizontal="left" vertical="center" wrapText="1"/>
    </xf>
    <xf numFmtId="41" fontId="23" fillId="3" borderId="25" xfId="1" applyFont="1" applyFill="1" applyBorder="1" applyAlignment="1">
      <alignment horizontal="left" vertical="center" wrapText="1"/>
    </xf>
    <xf numFmtId="41" fontId="23" fillId="3" borderId="17" xfId="1" applyFont="1" applyFill="1" applyBorder="1" applyAlignment="1">
      <alignment horizontal="left" vertical="center" wrapText="1"/>
    </xf>
    <xf numFmtId="41" fontId="7" fillId="3" borderId="50" xfId="1" applyFont="1" applyFill="1" applyBorder="1" applyAlignment="1">
      <alignment horizontal="left" vertical="center" wrapText="1"/>
    </xf>
    <xf numFmtId="41" fontId="7" fillId="3" borderId="0" xfId="1" applyFont="1" applyFill="1" applyBorder="1" applyAlignment="1">
      <alignment horizontal="left" vertical="center" wrapText="1"/>
    </xf>
    <xf numFmtId="41" fontId="7" fillId="3" borderId="37" xfId="1" applyFont="1" applyFill="1" applyBorder="1" applyAlignment="1">
      <alignment horizontal="left" vertical="center" wrapText="1"/>
    </xf>
    <xf numFmtId="41" fontId="7" fillId="3" borderId="20" xfId="1" applyFont="1" applyFill="1" applyBorder="1" applyAlignment="1">
      <alignment horizontal="left" vertical="center" wrapText="1"/>
    </xf>
    <xf numFmtId="41" fontId="7" fillId="3" borderId="21" xfId="1" applyFont="1" applyFill="1" applyBorder="1" applyAlignment="1">
      <alignment horizontal="left" vertical="center" wrapText="1"/>
    </xf>
    <xf numFmtId="41" fontId="7" fillId="3" borderId="6" xfId="1" applyFont="1" applyFill="1" applyBorder="1" applyAlignment="1">
      <alignment horizontal="left" vertical="center" wrapText="1"/>
    </xf>
    <xf numFmtId="41" fontId="7" fillId="3" borderId="17" xfId="1" applyFont="1" applyFill="1" applyBorder="1" applyAlignment="1">
      <alignment horizontal="left" vertical="center" wrapText="1"/>
    </xf>
    <xf numFmtId="41" fontId="7" fillId="3" borderId="31" xfId="1" applyFont="1" applyFill="1" applyBorder="1" applyAlignment="1">
      <alignment horizontal="left" vertical="center" wrapText="1"/>
    </xf>
    <xf numFmtId="41" fontId="7" fillId="3" borderId="26" xfId="1" applyFont="1" applyFill="1" applyBorder="1" applyAlignment="1">
      <alignment vertical="center" wrapText="1"/>
    </xf>
    <xf numFmtId="41" fontId="7" fillId="3" borderId="1" xfId="1" applyFont="1" applyFill="1" applyBorder="1" applyAlignment="1">
      <alignment vertical="center" wrapText="1"/>
    </xf>
    <xf numFmtId="41" fontId="7" fillId="3" borderId="16" xfId="1" applyFont="1" applyFill="1" applyBorder="1" applyAlignment="1">
      <alignment vertical="center" wrapText="1"/>
    </xf>
    <xf numFmtId="41" fontId="39" fillId="0" borderId="26" xfId="1" applyFont="1" applyBorder="1" applyAlignment="1">
      <alignment horizontal="center" vertical="center"/>
    </xf>
    <xf numFmtId="41" fontId="39" fillId="0" borderId="1" xfId="1" applyFont="1" applyBorder="1" applyAlignment="1">
      <alignment horizontal="center" vertical="center"/>
    </xf>
    <xf numFmtId="41" fontId="39" fillId="0" borderId="16" xfId="1" applyFont="1" applyBorder="1" applyAlignment="1">
      <alignment horizontal="center" vertical="center"/>
    </xf>
    <xf numFmtId="41" fontId="7" fillId="0" borderId="108" xfId="1" applyFont="1" applyBorder="1" applyAlignment="1">
      <alignment horizontal="left" vertical="center"/>
    </xf>
    <xf numFmtId="41" fontId="7" fillId="0" borderId="109" xfId="1" applyFont="1" applyBorder="1" applyAlignment="1">
      <alignment horizontal="left" vertical="center"/>
    </xf>
    <xf numFmtId="41" fontId="23" fillId="0" borderId="31" xfId="1" applyFont="1" applyBorder="1" applyAlignment="1">
      <alignment horizontal="left" vertical="center"/>
    </xf>
    <xf numFmtId="41" fontId="23" fillId="0" borderId="25" xfId="1" applyFont="1" applyFill="1" applyBorder="1" applyAlignment="1">
      <alignment horizontal="left" vertical="center" wrapText="1"/>
    </xf>
    <xf numFmtId="41" fontId="23" fillId="0" borderId="17" xfId="1" applyFont="1" applyFill="1" applyBorder="1" applyAlignment="1">
      <alignment horizontal="left" vertical="center" wrapText="1"/>
    </xf>
    <xf numFmtId="41" fontId="23" fillId="0" borderId="31" xfId="1" applyFont="1" applyFill="1" applyBorder="1" applyAlignment="1">
      <alignment horizontal="left" vertical="center" wrapText="1"/>
    </xf>
    <xf numFmtId="41" fontId="7" fillId="3" borderId="109" xfId="1" applyFont="1" applyFill="1" applyBorder="1" applyAlignment="1">
      <alignment horizontal="left" vertical="center" wrapText="1"/>
    </xf>
    <xf numFmtId="41" fontId="7" fillId="3" borderId="102" xfId="1" applyFont="1" applyFill="1" applyBorder="1" applyAlignment="1">
      <alignment horizontal="left" vertical="center" wrapText="1"/>
    </xf>
    <xf numFmtId="41" fontId="20" fillId="0" borderId="0" xfId="1" applyFont="1" applyAlignment="1">
      <alignment horizontal="center" vertical="center"/>
    </xf>
    <xf numFmtId="41" fontId="11" fillId="0" borderId="1" xfId="1" applyFont="1" applyBorder="1" applyAlignment="1">
      <alignment horizontal="left" vertical="center"/>
    </xf>
    <xf numFmtId="41" fontId="21" fillId="0" borderId="19" xfId="1" applyFont="1" applyBorder="1" applyAlignment="1">
      <alignment horizontal="center" vertical="center"/>
    </xf>
    <xf numFmtId="41" fontId="28" fillId="0" borderId="70" xfId="1" applyFont="1" applyBorder="1" applyAlignment="1">
      <alignment horizontal="center" vertical="center" shrinkToFit="1"/>
    </xf>
    <xf numFmtId="41" fontId="28" fillId="0" borderId="81" xfId="1" applyFont="1" applyBorder="1" applyAlignment="1">
      <alignment horizontal="center" vertical="center" shrinkToFit="1"/>
    </xf>
    <xf numFmtId="41" fontId="21" fillId="0" borderId="20" xfId="1" applyFont="1" applyBorder="1" applyAlignment="1">
      <alignment horizontal="center" vertical="center"/>
    </xf>
    <xf numFmtId="41" fontId="21" fillId="0" borderId="21" xfId="1" applyFont="1" applyBorder="1" applyAlignment="1">
      <alignment horizontal="center" vertical="center"/>
    </xf>
    <xf numFmtId="41" fontId="21" fillId="0" borderId="6" xfId="1" applyFont="1" applyBorder="1" applyAlignment="1">
      <alignment horizontal="center" vertical="center"/>
    </xf>
    <xf numFmtId="41" fontId="21" fillId="0" borderId="26" xfId="1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41" fontId="21" fillId="0" borderId="16" xfId="1" applyFont="1" applyBorder="1" applyAlignment="1">
      <alignment horizontal="center" vertical="center"/>
    </xf>
    <xf numFmtId="41" fontId="21" fillId="0" borderId="24" xfId="1" applyFont="1" applyBorder="1" applyAlignment="1">
      <alignment horizontal="center" vertical="center"/>
    </xf>
    <xf numFmtId="41" fontId="21" fillId="0" borderId="30" xfId="1" applyFont="1" applyBorder="1" applyAlignment="1">
      <alignment horizontal="center" vertical="center"/>
    </xf>
    <xf numFmtId="41" fontId="49" fillId="3" borderId="182" xfId="1" applyFont="1" applyFill="1" applyBorder="1" applyAlignment="1">
      <alignment horizontal="left" vertical="center" wrapText="1"/>
    </xf>
    <xf numFmtId="41" fontId="49" fillId="3" borderId="183" xfId="1" applyFont="1" applyFill="1" applyBorder="1" applyAlignment="1">
      <alignment horizontal="left" vertical="center" wrapText="1"/>
    </xf>
    <xf numFmtId="41" fontId="49" fillId="3" borderId="187" xfId="1" applyFont="1" applyFill="1" applyBorder="1" applyAlignment="1">
      <alignment horizontal="center" vertical="center" wrapText="1"/>
    </xf>
    <xf numFmtId="41" fontId="49" fillId="3" borderId="181" xfId="1" applyFont="1" applyFill="1" applyBorder="1" applyAlignment="1">
      <alignment horizontal="center" vertical="center" wrapText="1"/>
    </xf>
    <xf numFmtId="41" fontId="49" fillId="3" borderId="164" xfId="1" applyFont="1" applyFill="1" applyBorder="1" applyAlignment="1">
      <alignment horizontal="left" vertical="center" wrapText="1"/>
    </xf>
    <xf numFmtId="41" fontId="49" fillId="3" borderId="175" xfId="1" applyFont="1" applyFill="1" applyBorder="1" applyAlignment="1">
      <alignment horizontal="left" vertical="center" wrapText="1"/>
    </xf>
    <xf numFmtId="41" fontId="49" fillId="3" borderId="170" xfId="1" applyFont="1" applyFill="1" applyBorder="1" applyAlignment="1">
      <alignment horizontal="center" vertical="center" wrapText="1"/>
    </xf>
    <xf numFmtId="41" fontId="49" fillId="3" borderId="182" xfId="1" applyFont="1" applyFill="1" applyBorder="1" applyAlignment="1">
      <alignment horizontal="left" vertical="center"/>
    </xf>
    <xf numFmtId="41" fontId="49" fillId="3" borderId="183" xfId="1" applyFont="1" applyFill="1" applyBorder="1" applyAlignment="1">
      <alignment horizontal="left" vertical="center"/>
    </xf>
    <xf numFmtId="41" fontId="49" fillId="3" borderId="180" xfId="1" applyFont="1" applyFill="1" applyBorder="1" applyAlignment="1">
      <alignment horizontal="center" vertical="center" wrapText="1"/>
    </xf>
    <xf numFmtId="41" fontId="49" fillId="3" borderId="172" xfId="1" applyFont="1" applyFill="1" applyBorder="1" applyAlignment="1">
      <alignment horizontal="left" vertical="center" wrapText="1"/>
    </xf>
    <xf numFmtId="0" fontId="49" fillId="3" borderId="159" xfId="3" applyNumberFormat="1" applyFont="1" applyFill="1" applyBorder="1" applyAlignment="1">
      <alignment horizontal="center" vertical="center" wrapText="1"/>
    </xf>
    <xf numFmtId="0" fontId="49" fillId="3" borderId="116" xfId="3" applyNumberFormat="1" applyFont="1" applyFill="1" applyBorder="1" applyAlignment="1">
      <alignment horizontal="center" vertical="center" wrapText="1"/>
    </xf>
    <xf numFmtId="0" fontId="49" fillId="3" borderId="193" xfId="3" applyNumberFormat="1" applyFont="1" applyFill="1" applyBorder="1" applyAlignment="1">
      <alignment horizontal="center" vertical="center" wrapText="1"/>
    </xf>
    <xf numFmtId="0" fontId="49" fillId="3" borderId="194" xfId="3" applyNumberFormat="1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center" vertical="center"/>
    </xf>
    <xf numFmtId="41" fontId="49" fillId="3" borderId="114" xfId="1" applyFont="1" applyFill="1" applyBorder="1" applyAlignment="1">
      <alignment horizontal="left" vertical="center" wrapText="1"/>
    </xf>
    <xf numFmtId="41" fontId="48" fillId="3" borderId="70" xfId="1" applyFont="1" applyFill="1" applyBorder="1" applyAlignment="1">
      <alignment horizontal="center" vertical="center" shrinkToFit="1"/>
    </xf>
    <xf numFmtId="41" fontId="48" fillId="3" borderId="81" xfId="1" applyFont="1" applyFill="1" applyBorder="1" applyAlignment="1">
      <alignment horizontal="center" vertical="center" shrinkToFit="1"/>
    </xf>
    <xf numFmtId="41" fontId="49" fillId="3" borderId="160" xfId="1" applyFont="1" applyFill="1" applyBorder="1" applyAlignment="1">
      <alignment horizontal="left" vertical="center" wrapText="1"/>
    </xf>
    <xf numFmtId="0" fontId="49" fillId="3" borderId="196" xfId="3" applyNumberFormat="1" applyFont="1" applyFill="1" applyBorder="1" applyAlignment="1">
      <alignment horizontal="center" vertical="center" wrapText="1"/>
    </xf>
    <xf numFmtId="41" fontId="49" fillId="3" borderId="105" xfId="1" applyFont="1" applyFill="1" applyBorder="1" applyAlignment="1">
      <alignment horizontal="left" vertical="center" wrapText="1"/>
    </xf>
    <xf numFmtId="41" fontId="49" fillId="3" borderId="50" xfId="1" applyFont="1" applyFill="1" applyBorder="1" applyAlignment="1">
      <alignment horizontal="left" vertical="center" wrapText="1"/>
    </xf>
    <xf numFmtId="0" fontId="49" fillId="3" borderId="180" xfId="3" applyNumberFormat="1" applyFont="1" applyFill="1" applyBorder="1" applyAlignment="1">
      <alignment horizontal="center" vertical="center" wrapText="1"/>
    </xf>
    <xf numFmtId="0" fontId="49" fillId="3" borderId="181" xfId="3" applyNumberFormat="1" applyFont="1" applyFill="1" applyBorder="1" applyAlignment="1">
      <alignment horizontal="center" vertical="center" wrapText="1"/>
    </xf>
    <xf numFmtId="41" fontId="50" fillId="3" borderId="26" xfId="1" applyFont="1" applyFill="1" applyBorder="1" applyAlignment="1">
      <alignment horizontal="center" vertical="center"/>
    </xf>
    <xf numFmtId="41" fontId="50" fillId="3" borderId="1" xfId="1" applyFont="1" applyFill="1" applyBorder="1" applyAlignment="1">
      <alignment horizontal="center" vertical="center"/>
    </xf>
    <xf numFmtId="41" fontId="50" fillId="3" borderId="16" xfId="1" applyFont="1" applyFill="1" applyBorder="1" applyAlignment="1">
      <alignment horizontal="center" vertical="center"/>
    </xf>
    <xf numFmtId="41" fontId="50" fillId="3" borderId="25" xfId="1" applyFont="1" applyFill="1" applyBorder="1" applyAlignment="1">
      <alignment horizontal="left" vertical="center"/>
    </xf>
    <xf numFmtId="41" fontId="50" fillId="3" borderId="17" xfId="1" applyFont="1" applyFill="1" applyBorder="1" applyAlignment="1">
      <alignment horizontal="left" vertical="center"/>
    </xf>
    <xf numFmtId="41" fontId="50" fillId="3" borderId="31" xfId="1" applyFont="1" applyFill="1" applyBorder="1" applyAlignment="1">
      <alignment horizontal="left" vertical="center"/>
    </xf>
    <xf numFmtId="41" fontId="20" fillId="3" borderId="20" xfId="1" applyFont="1" applyFill="1" applyBorder="1" applyAlignment="1">
      <alignment horizontal="center" vertical="center"/>
    </xf>
    <xf numFmtId="41" fontId="20" fillId="3" borderId="21" xfId="1" applyFont="1" applyFill="1" applyBorder="1" applyAlignment="1">
      <alignment horizontal="center" vertical="center"/>
    </xf>
    <xf numFmtId="41" fontId="20" fillId="3" borderId="6" xfId="1" applyFont="1" applyFill="1" applyBorder="1" applyAlignment="1">
      <alignment horizontal="center" vertical="center"/>
    </xf>
    <xf numFmtId="41" fontId="48" fillId="3" borderId="26" xfId="1" applyFont="1" applyFill="1" applyBorder="1" applyAlignment="1">
      <alignment horizontal="left" vertical="center"/>
    </xf>
    <xf numFmtId="41" fontId="48" fillId="3" borderId="1" xfId="1" applyFont="1" applyFill="1" applyBorder="1" applyAlignment="1">
      <alignment horizontal="left" vertical="center"/>
    </xf>
    <xf numFmtId="41" fontId="48" fillId="3" borderId="16" xfId="1" applyFont="1" applyFill="1" applyBorder="1" applyAlignment="1">
      <alignment horizontal="left" vertical="center"/>
    </xf>
    <xf numFmtId="41" fontId="48" fillId="3" borderId="19" xfId="1" applyFont="1" applyFill="1" applyBorder="1" applyAlignment="1">
      <alignment horizontal="center" vertical="center"/>
    </xf>
    <xf numFmtId="41" fontId="48" fillId="3" borderId="20" xfId="1" applyFont="1" applyFill="1" applyBorder="1" applyAlignment="1">
      <alignment horizontal="center" vertical="center"/>
    </xf>
    <xf numFmtId="41" fontId="48" fillId="3" borderId="21" xfId="1" applyFont="1" applyFill="1" applyBorder="1" applyAlignment="1">
      <alignment horizontal="center" vertical="center"/>
    </xf>
    <xf numFmtId="41" fontId="48" fillId="3" borderId="6" xfId="1" applyFont="1" applyFill="1" applyBorder="1" applyAlignment="1">
      <alignment horizontal="center" vertical="center"/>
    </xf>
    <xf numFmtId="41" fontId="48" fillId="3" borderId="26" xfId="1" applyFont="1" applyFill="1" applyBorder="1" applyAlignment="1">
      <alignment horizontal="center" vertical="center"/>
    </xf>
    <xf numFmtId="41" fontId="48" fillId="3" borderId="1" xfId="1" applyFont="1" applyFill="1" applyBorder="1" applyAlignment="1">
      <alignment horizontal="center" vertical="center"/>
    </xf>
    <xf numFmtId="41" fontId="48" fillId="3" borderId="16" xfId="1" applyFont="1" applyFill="1" applyBorder="1" applyAlignment="1">
      <alignment horizontal="center" vertical="center"/>
    </xf>
    <xf numFmtId="41" fontId="48" fillId="3" borderId="70" xfId="1" applyFont="1" applyFill="1" applyBorder="1" applyAlignment="1">
      <alignment horizontal="center" vertical="center"/>
    </xf>
    <xf numFmtId="41" fontId="48" fillId="3" borderId="81" xfId="1" applyFont="1" applyFill="1" applyBorder="1" applyAlignment="1">
      <alignment horizontal="center" vertical="center"/>
    </xf>
    <xf numFmtId="41" fontId="49" fillId="3" borderId="115" xfId="1" applyFont="1" applyFill="1" applyBorder="1" applyAlignment="1">
      <alignment horizontal="left" vertical="center" wrapText="1"/>
    </xf>
    <xf numFmtId="41" fontId="49" fillId="3" borderId="177" xfId="1" applyFont="1" applyFill="1" applyBorder="1" applyAlignment="1">
      <alignment horizontal="left" vertical="center" wrapText="1"/>
    </xf>
    <xf numFmtId="41" fontId="49" fillId="3" borderId="21" xfId="1" applyFont="1" applyFill="1" applyBorder="1" applyAlignment="1">
      <alignment vertical="center" wrapText="1"/>
    </xf>
    <xf numFmtId="41" fontId="49" fillId="3" borderId="6" xfId="1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1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176" fontId="7" fillId="3" borderId="39" xfId="0" applyNumberFormat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76" fontId="22" fillId="3" borderId="25" xfId="0" applyNumberFormat="1" applyFont="1" applyFill="1" applyBorder="1" applyAlignment="1">
      <alignment horizontal="center" vertical="center"/>
    </xf>
    <xf numFmtId="176" fontId="22" fillId="3" borderId="17" xfId="0" applyNumberFormat="1" applyFont="1" applyFill="1" applyBorder="1" applyAlignment="1">
      <alignment horizontal="center" vertical="center"/>
    </xf>
    <xf numFmtId="176" fontId="22" fillId="3" borderId="31" xfId="0" applyNumberFormat="1" applyFont="1" applyFill="1" applyBorder="1" applyAlignment="1">
      <alignment horizontal="center" vertical="center"/>
    </xf>
    <xf numFmtId="176" fontId="23" fillId="3" borderId="26" xfId="0" applyNumberFormat="1" applyFont="1" applyFill="1" applyBorder="1" applyAlignment="1">
      <alignment horizontal="left" vertical="center"/>
    </xf>
    <xf numFmtId="176" fontId="23" fillId="3" borderId="1" xfId="0" applyNumberFormat="1" applyFont="1" applyFill="1" applyBorder="1" applyAlignment="1">
      <alignment horizontal="left" vertical="center"/>
    </xf>
    <xf numFmtId="176" fontId="23" fillId="3" borderId="16" xfId="0" applyNumberFormat="1" applyFont="1" applyFill="1" applyBorder="1" applyAlignment="1">
      <alignment horizontal="left" vertical="center"/>
    </xf>
    <xf numFmtId="176" fontId="7" fillId="3" borderId="40" xfId="0" applyNumberFormat="1" applyFont="1" applyFill="1" applyBorder="1" applyAlignment="1">
      <alignment horizontal="left" vertical="center" wrapText="1"/>
    </xf>
    <xf numFmtId="176" fontId="7" fillId="3" borderId="45" xfId="0" applyNumberFormat="1" applyFont="1" applyFill="1" applyBorder="1" applyAlignment="1">
      <alignment horizontal="left" vertical="center" wrapText="1"/>
    </xf>
    <xf numFmtId="176" fontId="7" fillId="3" borderId="46" xfId="0" applyNumberFormat="1" applyFont="1" applyFill="1" applyBorder="1" applyAlignment="1">
      <alignment horizontal="left" vertical="center" wrapText="1"/>
    </xf>
    <xf numFmtId="176" fontId="7" fillId="3" borderId="55" xfId="0" applyNumberFormat="1" applyFont="1" applyFill="1" applyBorder="1" applyAlignment="1">
      <alignment horizontal="left" vertical="center" wrapText="1"/>
    </xf>
    <xf numFmtId="176" fontId="23" fillId="3" borderId="25" xfId="0" applyNumberFormat="1" applyFont="1" applyFill="1" applyBorder="1" applyAlignment="1">
      <alignment horizontal="left" vertical="center" wrapText="1"/>
    </xf>
    <xf numFmtId="176" fontId="23" fillId="3" borderId="17" xfId="0" applyNumberFormat="1" applyFont="1" applyFill="1" applyBorder="1" applyAlignment="1">
      <alignment horizontal="left" vertical="center" wrapText="1"/>
    </xf>
    <xf numFmtId="176" fontId="26" fillId="3" borderId="45" xfId="0" applyNumberFormat="1" applyFont="1" applyFill="1" applyBorder="1" applyAlignment="1">
      <alignment horizontal="left" vertical="center" wrapText="1"/>
    </xf>
    <xf numFmtId="176" fontId="26" fillId="3" borderId="46" xfId="0" applyNumberFormat="1" applyFont="1" applyFill="1" applyBorder="1" applyAlignment="1">
      <alignment horizontal="left" vertical="center" wrapText="1"/>
    </xf>
    <xf numFmtId="176" fontId="7" fillId="3" borderId="59" xfId="0" applyNumberFormat="1" applyFont="1" applyFill="1" applyBorder="1" applyAlignment="1">
      <alignment horizontal="left" vertical="center" wrapText="1"/>
    </xf>
    <xf numFmtId="176" fontId="7" fillId="3" borderId="60" xfId="0" applyNumberFormat="1" applyFont="1" applyFill="1" applyBorder="1" applyAlignment="1">
      <alignment horizontal="left" vertical="center" wrapText="1"/>
    </xf>
    <xf numFmtId="176" fontId="7" fillId="3" borderId="50" xfId="0" applyNumberFormat="1" applyFont="1" applyFill="1" applyBorder="1" applyAlignment="1">
      <alignment horizontal="left" vertical="center" wrapText="1"/>
    </xf>
    <xf numFmtId="176" fontId="7" fillId="3" borderId="0" xfId="0" applyNumberFormat="1" applyFont="1" applyFill="1" applyAlignment="1">
      <alignment horizontal="left" vertical="center" wrapText="1"/>
    </xf>
    <xf numFmtId="176" fontId="7" fillId="3" borderId="37" xfId="0" applyNumberFormat="1" applyFont="1" applyFill="1" applyBorder="1" applyAlignment="1">
      <alignment horizontal="left" vertical="center" wrapText="1"/>
    </xf>
    <xf numFmtId="49" fontId="7" fillId="9" borderId="26" xfId="0" applyNumberFormat="1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vertical="center" wrapText="1"/>
    </xf>
    <xf numFmtId="49" fontId="7" fillId="9" borderId="16" xfId="0" applyNumberFormat="1" applyFont="1" applyFill="1" applyBorder="1" applyAlignment="1">
      <alignment vertical="center" wrapText="1"/>
    </xf>
    <xf numFmtId="176" fontId="23" fillId="9" borderId="25" xfId="0" applyNumberFormat="1" applyFont="1" applyFill="1" applyBorder="1" applyAlignment="1">
      <alignment horizontal="left" vertical="center"/>
    </xf>
    <xf numFmtId="176" fontId="23" fillId="9" borderId="17" xfId="0" applyNumberFormat="1" applyFont="1" applyFill="1" applyBorder="1" applyAlignment="1">
      <alignment horizontal="left" vertical="center"/>
    </xf>
  </cellXfs>
  <cellStyles count="5">
    <cellStyle name="백분율" xfId="4" builtinId="5"/>
    <cellStyle name="쉼표 [0]" xfId="1" builtinId="6"/>
    <cellStyle name="쉼표 [0] 2" xfId="3" xr:uid="{9E1D2835-1974-4215-A31B-DBAD744354CA}"/>
    <cellStyle name="표준" xfId="0" builtinId="0"/>
    <cellStyle name="표준 2" xfId="2" xr:uid="{213ED47A-4B93-4961-A453-9A4C9C1CA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21</xdr:row>
      <xdr:rowOff>85725</xdr:rowOff>
    </xdr:from>
    <xdr:to>
      <xdr:col>1</xdr:col>
      <xdr:colOff>1114425</xdr:colOff>
      <xdr:row>21</xdr:row>
      <xdr:rowOff>561975</xdr:rowOff>
    </xdr:to>
    <xdr:pic>
      <xdr:nvPicPr>
        <xdr:cNvPr id="2" name="그림 3" descr="사본 -서울시심볼.jpg">
          <a:extLst>
            <a:ext uri="{FF2B5EF4-FFF2-40B4-BE49-F238E27FC236}">
              <a16:creationId xmlns:a16="http://schemas.microsoft.com/office/drawing/2014/main" id="{980E53A1-3A04-4BC5-B66C-D98854915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82772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21</xdr:row>
      <xdr:rowOff>66675</xdr:rowOff>
    </xdr:from>
    <xdr:to>
      <xdr:col>1</xdr:col>
      <xdr:colOff>1152525</xdr:colOff>
      <xdr:row>21</xdr:row>
      <xdr:rowOff>542925</xdr:rowOff>
    </xdr:to>
    <xdr:pic>
      <xdr:nvPicPr>
        <xdr:cNvPr id="3" name="그림 3" descr="사본 -서울시심볼.jpg">
          <a:extLst>
            <a:ext uri="{FF2B5EF4-FFF2-40B4-BE49-F238E27FC236}">
              <a16:creationId xmlns:a16="http://schemas.microsoft.com/office/drawing/2014/main" id="{B543AEAF-AB84-4CF4-8601-69AFB294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825817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1724025</xdr:colOff>
      <xdr:row>4</xdr:row>
      <xdr:rowOff>409575</xdr:rowOff>
    </xdr:from>
    <xdr:to>
      <xdr:col>1</xdr:col>
      <xdr:colOff>4000500</xdr:colOff>
      <xdr:row>16</xdr:row>
      <xdr:rowOff>190500</xdr:rowOff>
    </xdr:to>
    <xdr:pic>
      <xdr:nvPicPr>
        <xdr:cNvPr id="4" name="그림 1">
          <a:extLst>
            <a:ext uri="{FF2B5EF4-FFF2-40B4-BE49-F238E27FC236}">
              <a16:creationId xmlns:a16="http://schemas.microsoft.com/office/drawing/2014/main" id="{92D4689E-D445-4EE0-9557-9664F85A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152775"/>
          <a:ext cx="22764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4FED-CD02-4BB5-ADD3-E28D8B2938DB}">
  <dimension ref="B2:K106"/>
  <sheetViews>
    <sheetView showGridLines="0" view="pageBreakPreview" zoomScale="70" zoomScaleNormal="100" zoomScaleSheetLayoutView="70" workbookViewId="0">
      <selection activeCell="D18" sqref="D18"/>
    </sheetView>
  </sheetViews>
  <sheetFormatPr defaultRowHeight="16.5"/>
  <cols>
    <col min="1" max="1" width="4.88671875" style="29" customWidth="1"/>
    <col min="2" max="2" width="65.33203125" style="29" customWidth="1"/>
    <col min="3" max="256" width="8.88671875" style="29"/>
    <col min="257" max="257" width="4.88671875" style="29" customWidth="1"/>
    <col min="258" max="258" width="65.33203125" style="29" customWidth="1"/>
    <col min="259" max="512" width="8.88671875" style="29"/>
    <col min="513" max="513" width="4.88671875" style="29" customWidth="1"/>
    <col min="514" max="514" width="65.33203125" style="29" customWidth="1"/>
    <col min="515" max="768" width="8.88671875" style="29"/>
    <col min="769" max="769" width="4.88671875" style="29" customWidth="1"/>
    <col min="770" max="770" width="65.33203125" style="29" customWidth="1"/>
    <col min="771" max="1024" width="8.88671875" style="29"/>
    <col min="1025" max="1025" width="4.88671875" style="29" customWidth="1"/>
    <col min="1026" max="1026" width="65.33203125" style="29" customWidth="1"/>
    <col min="1027" max="1280" width="8.88671875" style="29"/>
    <col min="1281" max="1281" width="4.88671875" style="29" customWidth="1"/>
    <col min="1282" max="1282" width="65.33203125" style="29" customWidth="1"/>
    <col min="1283" max="1536" width="8.88671875" style="29"/>
    <col min="1537" max="1537" width="4.88671875" style="29" customWidth="1"/>
    <col min="1538" max="1538" width="65.33203125" style="29" customWidth="1"/>
    <col min="1539" max="1792" width="8.88671875" style="29"/>
    <col min="1793" max="1793" width="4.88671875" style="29" customWidth="1"/>
    <col min="1794" max="1794" width="65.33203125" style="29" customWidth="1"/>
    <col min="1795" max="2048" width="8.88671875" style="29"/>
    <col min="2049" max="2049" width="4.88671875" style="29" customWidth="1"/>
    <col min="2050" max="2050" width="65.33203125" style="29" customWidth="1"/>
    <col min="2051" max="2304" width="8.88671875" style="29"/>
    <col min="2305" max="2305" width="4.88671875" style="29" customWidth="1"/>
    <col min="2306" max="2306" width="65.33203125" style="29" customWidth="1"/>
    <col min="2307" max="2560" width="8.88671875" style="29"/>
    <col min="2561" max="2561" width="4.88671875" style="29" customWidth="1"/>
    <col min="2562" max="2562" width="65.33203125" style="29" customWidth="1"/>
    <col min="2563" max="2816" width="8.88671875" style="29"/>
    <col min="2817" max="2817" width="4.88671875" style="29" customWidth="1"/>
    <col min="2818" max="2818" width="65.33203125" style="29" customWidth="1"/>
    <col min="2819" max="3072" width="8.88671875" style="29"/>
    <col min="3073" max="3073" width="4.88671875" style="29" customWidth="1"/>
    <col min="3074" max="3074" width="65.33203125" style="29" customWidth="1"/>
    <col min="3075" max="3328" width="8.88671875" style="29"/>
    <col min="3329" max="3329" width="4.88671875" style="29" customWidth="1"/>
    <col min="3330" max="3330" width="65.33203125" style="29" customWidth="1"/>
    <col min="3331" max="3584" width="8.88671875" style="29"/>
    <col min="3585" max="3585" width="4.88671875" style="29" customWidth="1"/>
    <col min="3586" max="3586" width="65.33203125" style="29" customWidth="1"/>
    <col min="3587" max="3840" width="8.88671875" style="29"/>
    <col min="3841" max="3841" width="4.88671875" style="29" customWidth="1"/>
    <col min="3842" max="3842" width="65.33203125" style="29" customWidth="1"/>
    <col min="3843" max="4096" width="8.88671875" style="29"/>
    <col min="4097" max="4097" width="4.88671875" style="29" customWidth="1"/>
    <col min="4098" max="4098" width="65.33203125" style="29" customWidth="1"/>
    <col min="4099" max="4352" width="8.88671875" style="29"/>
    <col min="4353" max="4353" width="4.88671875" style="29" customWidth="1"/>
    <col min="4354" max="4354" width="65.33203125" style="29" customWidth="1"/>
    <col min="4355" max="4608" width="8.88671875" style="29"/>
    <col min="4609" max="4609" width="4.88671875" style="29" customWidth="1"/>
    <col min="4610" max="4610" width="65.33203125" style="29" customWidth="1"/>
    <col min="4611" max="4864" width="8.88671875" style="29"/>
    <col min="4865" max="4865" width="4.88671875" style="29" customWidth="1"/>
    <col min="4866" max="4866" width="65.33203125" style="29" customWidth="1"/>
    <col min="4867" max="5120" width="8.88671875" style="29"/>
    <col min="5121" max="5121" width="4.88671875" style="29" customWidth="1"/>
    <col min="5122" max="5122" width="65.33203125" style="29" customWidth="1"/>
    <col min="5123" max="5376" width="8.88671875" style="29"/>
    <col min="5377" max="5377" width="4.88671875" style="29" customWidth="1"/>
    <col min="5378" max="5378" width="65.33203125" style="29" customWidth="1"/>
    <col min="5379" max="5632" width="8.88671875" style="29"/>
    <col min="5633" max="5633" width="4.88671875" style="29" customWidth="1"/>
    <col min="5634" max="5634" width="65.33203125" style="29" customWidth="1"/>
    <col min="5635" max="5888" width="8.88671875" style="29"/>
    <col min="5889" max="5889" width="4.88671875" style="29" customWidth="1"/>
    <col min="5890" max="5890" width="65.33203125" style="29" customWidth="1"/>
    <col min="5891" max="6144" width="8.88671875" style="29"/>
    <col min="6145" max="6145" width="4.88671875" style="29" customWidth="1"/>
    <col min="6146" max="6146" width="65.33203125" style="29" customWidth="1"/>
    <col min="6147" max="6400" width="8.88671875" style="29"/>
    <col min="6401" max="6401" width="4.88671875" style="29" customWidth="1"/>
    <col min="6402" max="6402" width="65.33203125" style="29" customWidth="1"/>
    <col min="6403" max="6656" width="8.88671875" style="29"/>
    <col min="6657" max="6657" width="4.88671875" style="29" customWidth="1"/>
    <col min="6658" max="6658" width="65.33203125" style="29" customWidth="1"/>
    <col min="6659" max="6912" width="8.88671875" style="29"/>
    <col min="6913" max="6913" width="4.88671875" style="29" customWidth="1"/>
    <col min="6914" max="6914" width="65.33203125" style="29" customWidth="1"/>
    <col min="6915" max="7168" width="8.88671875" style="29"/>
    <col min="7169" max="7169" width="4.88671875" style="29" customWidth="1"/>
    <col min="7170" max="7170" width="65.33203125" style="29" customWidth="1"/>
    <col min="7171" max="7424" width="8.88671875" style="29"/>
    <col min="7425" max="7425" width="4.88671875" style="29" customWidth="1"/>
    <col min="7426" max="7426" width="65.33203125" style="29" customWidth="1"/>
    <col min="7427" max="7680" width="8.88671875" style="29"/>
    <col min="7681" max="7681" width="4.88671875" style="29" customWidth="1"/>
    <col min="7682" max="7682" width="65.33203125" style="29" customWidth="1"/>
    <col min="7683" max="7936" width="8.88671875" style="29"/>
    <col min="7937" max="7937" width="4.88671875" style="29" customWidth="1"/>
    <col min="7938" max="7938" width="65.33203125" style="29" customWidth="1"/>
    <col min="7939" max="8192" width="8.88671875" style="29"/>
    <col min="8193" max="8193" width="4.88671875" style="29" customWidth="1"/>
    <col min="8194" max="8194" width="65.33203125" style="29" customWidth="1"/>
    <col min="8195" max="8448" width="8.88671875" style="29"/>
    <col min="8449" max="8449" width="4.88671875" style="29" customWidth="1"/>
    <col min="8450" max="8450" width="65.33203125" style="29" customWidth="1"/>
    <col min="8451" max="8704" width="8.88671875" style="29"/>
    <col min="8705" max="8705" width="4.88671875" style="29" customWidth="1"/>
    <col min="8706" max="8706" width="65.33203125" style="29" customWidth="1"/>
    <col min="8707" max="8960" width="8.88671875" style="29"/>
    <col min="8961" max="8961" width="4.88671875" style="29" customWidth="1"/>
    <col min="8962" max="8962" width="65.33203125" style="29" customWidth="1"/>
    <col min="8963" max="9216" width="8.88671875" style="29"/>
    <col min="9217" max="9217" width="4.88671875" style="29" customWidth="1"/>
    <col min="9218" max="9218" width="65.33203125" style="29" customWidth="1"/>
    <col min="9219" max="9472" width="8.88671875" style="29"/>
    <col min="9473" max="9473" width="4.88671875" style="29" customWidth="1"/>
    <col min="9474" max="9474" width="65.33203125" style="29" customWidth="1"/>
    <col min="9475" max="9728" width="8.88671875" style="29"/>
    <col min="9729" max="9729" width="4.88671875" style="29" customWidth="1"/>
    <col min="9730" max="9730" width="65.33203125" style="29" customWidth="1"/>
    <col min="9731" max="9984" width="8.88671875" style="29"/>
    <col min="9985" max="9985" width="4.88671875" style="29" customWidth="1"/>
    <col min="9986" max="9986" width="65.33203125" style="29" customWidth="1"/>
    <col min="9987" max="10240" width="8.88671875" style="29"/>
    <col min="10241" max="10241" width="4.88671875" style="29" customWidth="1"/>
    <col min="10242" max="10242" width="65.33203125" style="29" customWidth="1"/>
    <col min="10243" max="10496" width="8.88671875" style="29"/>
    <col min="10497" max="10497" width="4.88671875" style="29" customWidth="1"/>
    <col min="10498" max="10498" width="65.33203125" style="29" customWidth="1"/>
    <col min="10499" max="10752" width="8.88671875" style="29"/>
    <col min="10753" max="10753" width="4.88671875" style="29" customWidth="1"/>
    <col min="10754" max="10754" width="65.33203125" style="29" customWidth="1"/>
    <col min="10755" max="11008" width="8.88671875" style="29"/>
    <col min="11009" max="11009" width="4.88671875" style="29" customWidth="1"/>
    <col min="11010" max="11010" width="65.33203125" style="29" customWidth="1"/>
    <col min="11011" max="11264" width="8.88671875" style="29"/>
    <col min="11265" max="11265" width="4.88671875" style="29" customWidth="1"/>
    <col min="11266" max="11266" width="65.33203125" style="29" customWidth="1"/>
    <col min="11267" max="11520" width="8.88671875" style="29"/>
    <col min="11521" max="11521" width="4.88671875" style="29" customWidth="1"/>
    <col min="11522" max="11522" width="65.33203125" style="29" customWidth="1"/>
    <col min="11523" max="11776" width="8.88671875" style="29"/>
    <col min="11777" max="11777" width="4.88671875" style="29" customWidth="1"/>
    <col min="11778" max="11778" width="65.33203125" style="29" customWidth="1"/>
    <col min="11779" max="12032" width="8.88671875" style="29"/>
    <col min="12033" max="12033" width="4.88671875" style="29" customWidth="1"/>
    <col min="12034" max="12034" width="65.33203125" style="29" customWidth="1"/>
    <col min="12035" max="12288" width="8.88671875" style="29"/>
    <col min="12289" max="12289" width="4.88671875" style="29" customWidth="1"/>
    <col min="12290" max="12290" width="65.33203125" style="29" customWidth="1"/>
    <col min="12291" max="12544" width="8.88671875" style="29"/>
    <col min="12545" max="12545" width="4.88671875" style="29" customWidth="1"/>
    <col min="12546" max="12546" width="65.33203125" style="29" customWidth="1"/>
    <col min="12547" max="12800" width="8.88671875" style="29"/>
    <col min="12801" max="12801" width="4.88671875" style="29" customWidth="1"/>
    <col min="12802" max="12802" width="65.33203125" style="29" customWidth="1"/>
    <col min="12803" max="13056" width="8.88671875" style="29"/>
    <col min="13057" max="13057" width="4.88671875" style="29" customWidth="1"/>
    <col min="13058" max="13058" width="65.33203125" style="29" customWidth="1"/>
    <col min="13059" max="13312" width="8.88671875" style="29"/>
    <col min="13313" max="13313" width="4.88671875" style="29" customWidth="1"/>
    <col min="13314" max="13314" width="65.33203125" style="29" customWidth="1"/>
    <col min="13315" max="13568" width="8.88671875" style="29"/>
    <col min="13569" max="13569" width="4.88671875" style="29" customWidth="1"/>
    <col min="13570" max="13570" width="65.33203125" style="29" customWidth="1"/>
    <col min="13571" max="13824" width="8.88671875" style="29"/>
    <col min="13825" max="13825" width="4.88671875" style="29" customWidth="1"/>
    <col min="13826" max="13826" width="65.33203125" style="29" customWidth="1"/>
    <col min="13827" max="14080" width="8.88671875" style="29"/>
    <col min="14081" max="14081" width="4.88671875" style="29" customWidth="1"/>
    <col min="14082" max="14082" width="65.33203125" style="29" customWidth="1"/>
    <col min="14083" max="14336" width="8.88671875" style="29"/>
    <col min="14337" max="14337" width="4.88671875" style="29" customWidth="1"/>
    <col min="14338" max="14338" width="65.33203125" style="29" customWidth="1"/>
    <col min="14339" max="14592" width="8.88671875" style="29"/>
    <col min="14593" max="14593" width="4.88671875" style="29" customWidth="1"/>
    <col min="14594" max="14594" width="65.33203125" style="29" customWidth="1"/>
    <col min="14595" max="14848" width="8.88671875" style="29"/>
    <col min="14849" max="14849" width="4.88671875" style="29" customWidth="1"/>
    <col min="14850" max="14850" width="65.33203125" style="29" customWidth="1"/>
    <col min="14851" max="15104" width="8.88671875" style="29"/>
    <col min="15105" max="15105" width="4.88671875" style="29" customWidth="1"/>
    <col min="15106" max="15106" width="65.33203125" style="29" customWidth="1"/>
    <col min="15107" max="15360" width="8.88671875" style="29"/>
    <col min="15361" max="15361" width="4.88671875" style="29" customWidth="1"/>
    <col min="15362" max="15362" width="65.33203125" style="29" customWidth="1"/>
    <col min="15363" max="15616" width="8.88671875" style="29"/>
    <col min="15617" max="15617" width="4.88671875" style="29" customWidth="1"/>
    <col min="15618" max="15618" width="65.33203125" style="29" customWidth="1"/>
    <col min="15619" max="15872" width="8.88671875" style="29"/>
    <col min="15873" max="15873" width="4.88671875" style="29" customWidth="1"/>
    <col min="15874" max="15874" width="65.33203125" style="29" customWidth="1"/>
    <col min="15875" max="16128" width="8.88671875" style="29"/>
    <col min="16129" max="16129" width="4.88671875" style="29" customWidth="1"/>
    <col min="16130" max="16130" width="65.33203125" style="29" customWidth="1"/>
    <col min="16131" max="16384" width="8.88671875" style="29"/>
  </cols>
  <sheetData>
    <row r="2" spans="2:2" ht="24.75" customHeight="1"/>
    <row r="3" spans="2:2" ht="128.25" customHeight="1">
      <c r="B3" s="259" t="s">
        <v>648</v>
      </c>
    </row>
    <row r="4" spans="2:2" ht="46.5" customHeight="1">
      <c r="B4" s="30"/>
    </row>
    <row r="5" spans="2:2" ht="33.75">
      <c r="B5" s="31"/>
    </row>
    <row r="6" spans="2:2" ht="33.75">
      <c r="B6" s="31"/>
    </row>
    <row r="7" spans="2:2">
      <c r="B7" s="32"/>
    </row>
    <row r="8" spans="2:2">
      <c r="B8" s="32"/>
    </row>
    <row r="9" spans="2:2">
      <c r="B9" s="32"/>
    </row>
    <row r="10" spans="2:2">
      <c r="B10" s="32"/>
    </row>
    <row r="11" spans="2:2">
      <c r="B11" s="32"/>
    </row>
    <row r="18" spans="2:2" ht="45">
      <c r="B18" s="33"/>
    </row>
    <row r="19" spans="2:2" ht="45">
      <c r="B19" s="33"/>
    </row>
    <row r="20" spans="2:2" ht="45">
      <c r="B20" s="33"/>
    </row>
    <row r="21" spans="2:2" ht="45">
      <c r="B21" s="33"/>
    </row>
    <row r="22" spans="2:2" ht="45" customHeight="1">
      <c r="B22" s="34" t="s">
        <v>29</v>
      </c>
    </row>
    <row r="105" spans="4:11" ht="17.25" thickBot="1"/>
    <row r="106" spans="4:11" ht="21" customHeight="1" thickBot="1">
      <c r="D106" s="1148" t="s">
        <v>26</v>
      </c>
      <c r="E106" s="1148"/>
      <c r="F106" s="35"/>
      <c r="G106" s="35"/>
      <c r="H106" s="35"/>
      <c r="I106" s="35"/>
      <c r="J106" s="35"/>
      <c r="K106" s="35"/>
    </row>
  </sheetData>
  <mergeCells count="1">
    <mergeCell ref="D106:E10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2129-668F-40F9-A9A1-5DA3FF28B15F}">
  <sheetPr>
    <pageSetUpPr fitToPage="1"/>
  </sheetPr>
  <dimension ref="A2:N78"/>
  <sheetViews>
    <sheetView view="pageBreakPreview" topLeftCell="A4" zoomScale="85" zoomScaleNormal="100" zoomScaleSheetLayoutView="85" workbookViewId="0">
      <selection activeCell="F12" sqref="F12"/>
    </sheetView>
  </sheetViews>
  <sheetFormatPr defaultRowHeight="16.5"/>
  <cols>
    <col min="1" max="2" width="13.77734375" style="194" customWidth="1"/>
    <col min="3" max="4" width="20.77734375" style="197" customWidth="1"/>
    <col min="5" max="5" width="20.77734375" style="197" hidden="1" customWidth="1"/>
    <col min="6" max="6" width="20.77734375" style="197" customWidth="1"/>
    <col min="7" max="8" width="13.77734375" style="194" customWidth="1"/>
    <col min="9" max="10" width="20.77734375" style="194" customWidth="1"/>
    <col min="11" max="11" width="20.77734375" style="194" hidden="1" customWidth="1"/>
    <col min="12" max="12" width="20.77734375" style="197" customWidth="1"/>
    <col min="13" max="13" width="12.21875" style="194" customWidth="1"/>
    <col min="14" max="14" width="10.44140625" style="194" bestFit="1" customWidth="1"/>
    <col min="15" max="15" width="8.88671875" style="194"/>
    <col min="16" max="16" width="12.77734375" style="194" bestFit="1" customWidth="1"/>
    <col min="17" max="256" width="8.88671875" style="194"/>
    <col min="257" max="257" width="18.44140625" style="194" bestFit="1" customWidth="1"/>
    <col min="258" max="258" width="18.44140625" style="194" customWidth="1"/>
    <col min="259" max="262" width="12.77734375" style="194" customWidth="1"/>
    <col min="263" max="264" width="18.44140625" style="194" customWidth="1"/>
    <col min="265" max="268" width="12.77734375" style="194" customWidth="1"/>
    <col min="269" max="269" width="12.21875" style="194" customWidth="1"/>
    <col min="270" max="271" width="8.88671875" style="194"/>
    <col min="272" max="272" width="12.77734375" style="194" bestFit="1" customWidth="1"/>
    <col min="273" max="512" width="8.88671875" style="194"/>
    <col min="513" max="513" width="18.44140625" style="194" bestFit="1" customWidth="1"/>
    <col min="514" max="514" width="18.44140625" style="194" customWidth="1"/>
    <col min="515" max="518" width="12.77734375" style="194" customWidth="1"/>
    <col min="519" max="520" width="18.44140625" style="194" customWidth="1"/>
    <col min="521" max="524" width="12.77734375" style="194" customWidth="1"/>
    <col min="525" max="525" width="12.21875" style="194" customWidth="1"/>
    <col min="526" max="527" width="8.88671875" style="194"/>
    <col min="528" max="528" width="12.77734375" style="194" bestFit="1" customWidth="1"/>
    <col min="529" max="768" width="8.88671875" style="194"/>
    <col min="769" max="769" width="18.44140625" style="194" bestFit="1" customWidth="1"/>
    <col min="770" max="770" width="18.44140625" style="194" customWidth="1"/>
    <col min="771" max="774" width="12.77734375" style="194" customWidth="1"/>
    <col min="775" max="776" width="18.44140625" style="194" customWidth="1"/>
    <col min="777" max="780" width="12.77734375" style="194" customWidth="1"/>
    <col min="781" max="781" width="12.21875" style="194" customWidth="1"/>
    <col min="782" max="783" width="8.88671875" style="194"/>
    <col min="784" max="784" width="12.77734375" style="194" bestFit="1" customWidth="1"/>
    <col min="785" max="1024" width="8.88671875" style="194"/>
    <col min="1025" max="1025" width="18.44140625" style="194" bestFit="1" customWidth="1"/>
    <col min="1026" max="1026" width="18.44140625" style="194" customWidth="1"/>
    <col min="1027" max="1030" width="12.77734375" style="194" customWidth="1"/>
    <col min="1031" max="1032" width="18.44140625" style="194" customWidth="1"/>
    <col min="1033" max="1036" width="12.77734375" style="194" customWidth="1"/>
    <col min="1037" max="1037" width="12.21875" style="194" customWidth="1"/>
    <col min="1038" max="1039" width="8.88671875" style="194"/>
    <col min="1040" max="1040" width="12.77734375" style="194" bestFit="1" customWidth="1"/>
    <col min="1041" max="1280" width="8.88671875" style="194"/>
    <col min="1281" max="1281" width="18.44140625" style="194" bestFit="1" customWidth="1"/>
    <col min="1282" max="1282" width="18.44140625" style="194" customWidth="1"/>
    <col min="1283" max="1286" width="12.77734375" style="194" customWidth="1"/>
    <col min="1287" max="1288" width="18.44140625" style="194" customWidth="1"/>
    <col min="1289" max="1292" width="12.77734375" style="194" customWidth="1"/>
    <col min="1293" max="1293" width="12.21875" style="194" customWidth="1"/>
    <col min="1294" max="1295" width="8.88671875" style="194"/>
    <col min="1296" max="1296" width="12.77734375" style="194" bestFit="1" customWidth="1"/>
    <col min="1297" max="1536" width="8.88671875" style="194"/>
    <col min="1537" max="1537" width="18.44140625" style="194" bestFit="1" customWidth="1"/>
    <col min="1538" max="1538" width="18.44140625" style="194" customWidth="1"/>
    <col min="1539" max="1542" width="12.77734375" style="194" customWidth="1"/>
    <col min="1543" max="1544" width="18.44140625" style="194" customWidth="1"/>
    <col min="1545" max="1548" width="12.77734375" style="194" customWidth="1"/>
    <col min="1549" max="1549" width="12.21875" style="194" customWidth="1"/>
    <col min="1550" max="1551" width="8.88671875" style="194"/>
    <col min="1552" max="1552" width="12.77734375" style="194" bestFit="1" customWidth="1"/>
    <col min="1553" max="1792" width="8.88671875" style="194"/>
    <col min="1793" max="1793" width="18.44140625" style="194" bestFit="1" customWidth="1"/>
    <col min="1794" max="1794" width="18.44140625" style="194" customWidth="1"/>
    <col min="1795" max="1798" width="12.77734375" style="194" customWidth="1"/>
    <col min="1799" max="1800" width="18.44140625" style="194" customWidth="1"/>
    <col min="1801" max="1804" width="12.77734375" style="194" customWidth="1"/>
    <col min="1805" max="1805" width="12.21875" style="194" customWidth="1"/>
    <col min="1806" max="1807" width="8.88671875" style="194"/>
    <col min="1808" max="1808" width="12.77734375" style="194" bestFit="1" customWidth="1"/>
    <col min="1809" max="2048" width="8.88671875" style="194"/>
    <col min="2049" max="2049" width="18.44140625" style="194" bestFit="1" customWidth="1"/>
    <col min="2050" max="2050" width="18.44140625" style="194" customWidth="1"/>
    <col min="2051" max="2054" width="12.77734375" style="194" customWidth="1"/>
    <col min="2055" max="2056" width="18.44140625" style="194" customWidth="1"/>
    <col min="2057" max="2060" width="12.77734375" style="194" customWidth="1"/>
    <col min="2061" max="2061" width="12.21875" style="194" customWidth="1"/>
    <col min="2062" max="2063" width="8.88671875" style="194"/>
    <col min="2064" max="2064" width="12.77734375" style="194" bestFit="1" customWidth="1"/>
    <col min="2065" max="2304" width="8.88671875" style="194"/>
    <col min="2305" max="2305" width="18.44140625" style="194" bestFit="1" customWidth="1"/>
    <col min="2306" max="2306" width="18.44140625" style="194" customWidth="1"/>
    <col min="2307" max="2310" width="12.77734375" style="194" customWidth="1"/>
    <col min="2311" max="2312" width="18.44140625" style="194" customWidth="1"/>
    <col min="2313" max="2316" width="12.77734375" style="194" customWidth="1"/>
    <col min="2317" max="2317" width="12.21875" style="194" customWidth="1"/>
    <col min="2318" max="2319" width="8.88671875" style="194"/>
    <col min="2320" max="2320" width="12.77734375" style="194" bestFit="1" customWidth="1"/>
    <col min="2321" max="2560" width="8.88671875" style="194"/>
    <col min="2561" max="2561" width="18.44140625" style="194" bestFit="1" customWidth="1"/>
    <col min="2562" max="2562" width="18.44140625" style="194" customWidth="1"/>
    <col min="2563" max="2566" width="12.77734375" style="194" customWidth="1"/>
    <col min="2567" max="2568" width="18.44140625" style="194" customWidth="1"/>
    <col min="2569" max="2572" width="12.77734375" style="194" customWidth="1"/>
    <col min="2573" max="2573" width="12.21875" style="194" customWidth="1"/>
    <col min="2574" max="2575" width="8.88671875" style="194"/>
    <col min="2576" max="2576" width="12.77734375" style="194" bestFit="1" customWidth="1"/>
    <col min="2577" max="2816" width="8.88671875" style="194"/>
    <col min="2817" max="2817" width="18.44140625" style="194" bestFit="1" customWidth="1"/>
    <col min="2818" max="2818" width="18.44140625" style="194" customWidth="1"/>
    <col min="2819" max="2822" width="12.77734375" style="194" customWidth="1"/>
    <col min="2823" max="2824" width="18.44140625" style="194" customWidth="1"/>
    <col min="2825" max="2828" width="12.77734375" style="194" customWidth="1"/>
    <col min="2829" max="2829" width="12.21875" style="194" customWidth="1"/>
    <col min="2830" max="2831" width="8.88671875" style="194"/>
    <col min="2832" max="2832" width="12.77734375" style="194" bestFit="1" customWidth="1"/>
    <col min="2833" max="3072" width="8.88671875" style="194"/>
    <col min="3073" max="3073" width="18.44140625" style="194" bestFit="1" customWidth="1"/>
    <col min="3074" max="3074" width="18.44140625" style="194" customWidth="1"/>
    <col min="3075" max="3078" width="12.77734375" style="194" customWidth="1"/>
    <col min="3079" max="3080" width="18.44140625" style="194" customWidth="1"/>
    <col min="3081" max="3084" width="12.77734375" style="194" customWidth="1"/>
    <col min="3085" max="3085" width="12.21875" style="194" customWidth="1"/>
    <col min="3086" max="3087" width="8.88671875" style="194"/>
    <col min="3088" max="3088" width="12.77734375" style="194" bestFit="1" customWidth="1"/>
    <col min="3089" max="3328" width="8.88671875" style="194"/>
    <col min="3329" max="3329" width="18.44140625" style="194" bestFit="1" customWidth="1"/>
    <col min="3330" max="3330" width="18.44140625" style="194" customWidth="1"/>
    <col min="3331" max="3334" width="12.77734375" style="194" customWidth="1"/>
    <col min="3335" max="3336" width="18.44140625" style="194" customWidth="1"/>
    <col min="3337" max="3340" width="12.77734375" style="194" customWidth="1"/>
    <col min="3341" max="3341" width="12.21875" style="194" customWidth="1"/>
    <col min="3342" max="3343" width="8.88671875" style="194"/>
    <col min="3344" max="3344" width="12.77734375" style="194" bestFit="1" customWidth="1"/>
    <col min="3345" max="3584" width="8.88671875" style="194"/>
    <col min="3585" max="3585" width="18.44140625" style="194" bestFit="1" customWidth="1"/>
    <col min="3586" max="3586" width="18.44140625" style="194" customWidth="1"/>
    <col min="3587" max="3590" width="12.77734375" style="194" customWidth="1"/>
    <col min="3591" max="3592" width="18.44140625" style="194" customWidth="1"/>
    <col min="3593" max="3596" width="12.77734375" style="194" customWidth="1"/>
    <col min="3597" max="3597" width="12.21875" style="194" customWidth="1"/>
    <col min="3598" max="3599" width="8.88671875" style="194"/>
    <col min="3600" max="3600" width="12.77734375" style="194" bestFit="1" customWidth="1"/>
    <col min="3601" max="3840" width="8.88671875" style="194"/>
    <col min="3841" max="3841" width="18.44140625" style="194" bestFit="1" customWidth="1"/>
    <col min="3842" max="3842" width="18.44140625" style="194" customWidth="1"/>
    <col min="3843" max="3846" width="12.77734375" style="194" customWidth="1"/>
    <col min="3847" max="3848" width="18.44140625" style="194" customWidth="1"/>
    <col min="3849" max="3852" width="12.77734375" style="194" customWidth="1"/>
    <col min="3853" max="3853" width="12.21875" style="194" customWidth="1"/>
    <col min="3854" max="3855" width="8.88671875" style="194"/>
    <col min="3856" max="3856" width="12.77734375" style="194" bestFit="1" customWidth="1"/>
    <col min="3857" max="4096" width="8.88671875" style="194"/>
    <col min="4097" max="4097" width="18.44140625" style="194" bestFit="1" customWidth="1"/>
    <col min="4098" max="4098" width="18.44140625" style="194" customWidth="1"/>
    <col min="4099" max="4102" width="12.77734375" style="194" customWidth="1"/>
    <col min="4103" max="4104" width="18.44140625" style="194" customWidth="1"/>
    <col min="4105" max="4108" width="12.77734375" style="194" customWidth="1"/>
    <col min="4109" max="4109" width="12.21875" style="194" customWidth="1"/>
    <col min="4110" max="4111" width="8.88671875" style="194"/>
    <col min="4112" max="4112" width="12.77734375" style="194" bestFit="1" customWidth="1"/>
    <col min="4113" max="4352" width="8.88671875" style="194"/>
    <col min="4353" max="4353" width="18.44140625" style="194" bestFit="1" customWidth="1"/>
    <col min="4354" max="4354" width="18.44140625" style="194" customWidth="1"/>
    <col min="4355" max="4358" width="12.77734375" style="194" customWidth="1"/>
    <col min="4359" max="4360" width="18.44140625" style="194" customWidth="1"/>
    <col min="4361" max="4364" width="12.77734375" style="194" customWidth="1"/>
    <col min="4365" max="4365" width="12.21875" style="194" customWidth="1"/>
    <col min="4366" max="4367" width="8.88671875" style="194"/>
    <col min="4368" max="4368" width="12.77734375" style="194" bestFit="1" customWidth="1"/>
    <col min="4369" max="4608" width="8.88671875" style="194"/>
    <col min="4609" max="4609" width="18.44140625" style="194" bestFit="1" customWidth="1"/>
    <col min="4610" max="4610" width="18.44140625" style="194" customWidth="1"/>
    <col min="4611" max="4614" width="12.77734375" style="194" customWidth="1"/>
    <col min="4615" max="4616" width="18.44140625" style="194" customWidth="1"/>
    <col min="4617" max="4620" width="12.77734375" style="194" customWidth="1"/>
    <col min="4621" max="4621" width="12.21875" style="194" customWidth="1"/>
    <col min="4622" max="4623" width="8.88671875" style="194"/>
    <col min="4624" max="4624" width="12.77734375" style="194" bestFit="1" customWidth="1"/>
    <col min="4625" max="4864" width="8.88671875" style="194"/>
    <col min="4865" max="4865" width="18.44140625" style="194" bestFit="1" customWidth="1"/>
    <col min="4866" max="4866" width="18.44140625" style="194" customWidth="1"/>
    <col min="4867" max="4870" width="12.77734375" style="194" customWidth="1"/>
    <col min="4871" max="4872" width="18.44140625" style="194" customWidth="1"/>
    <col min="4873" max="4876" width="12.77734375" style="194" customWidth="1"/>
    <col min="4877" max="4877" width="12.21875" style="194" customWidth="1"/>
    <col min="4878" max="4879" width="8.88671875" style="194"/>
    <col min="4880" max="4880" width="12.77734375" style="194" bestFit="1" customWidth="1"/>
    <col min="4881" max="5120" width="8.88671875" style="194"/>
    <col min="5121" max="5121" width="18.44140625" style="194" bestFit="1" customWidth="1"/>
    <col min="5122" max="5122" width="18.44140625" style="194" customWidth="1"/>
    <col min="5123" max="5126" width="12.77734375" style="194" customWidth="1"/>
    <col min="5127" max="5128" width="18.44140625" style="194" customWidth="1"/>
    <col min="5129" max="5132" width="12.77734375" style="194" customWidth="1"/>
    <col min="5133" max="5133" width="12.21875" style="194" customWidth="1"/>
    <col min="5134" max="5135" width="8.88671875" style="194"/>
    <col min="5136" max="5136" width="12.77734375" style="194" bestFit="1" customWidth="1"/>
    <col min="5137" max="5376" width="8.88671875" style="194"/>
    <col min="5377" max="5377" width="18.44140625" style="194" bestFit="1" customWidth="1"/>
    <col min="5378" max="5378" width="18.44140625" style="194" customWidth="1"/>
    <col min="5379" max="5382" width="12.77734375" style="194" customWidth="1"/>
    <col min="5383" max="5384" width="18.44140625" style="194" customWidth="1"/>
    <col min="5385" max="5388" width="12.77734375" style="194" customWidth="1"/>
    <col min="5389" max="5389" width="12.21875" style="194" customWidth="1"/>
    <col min="5390" max="5391" width="8.88671875" style="194"/>
    <col min="5392" max="5392" width="12.77734375" style="194" bestFit="1" customWidth="1"/>
    <col min="5393" max="5632" width="8.88671875" style="194"/>
    <col min="5633" max="5633" width="18.44140625" style="194" bestFit="1" customWidth="1"/>
    <col min="5634" max="5634" width="18.44140625" style="194" customWidth="1"/>
    <col min="5635" max="5638" width="12.77734375" style="194" customWidth="1"/>
    <col min="5639" max="5640" width="18.44140625" style="194" customWidth="1"/>
    <col min="5641" max="5644" width="12.77734375" style="194" customWidth="1"/>
    <col min="5645" max="5645" width="12.21875" style="194" customWidth="1"/>
    <col min="5646" max="5647" width="8.88671875" style="194"/>
    <col min="5648" max="5648" width="12.77734375" style="194" bestFit="1" customWidth="1"/>
    <col min="5649" max="5888" width="8.88671875" style="194"/>
    <col min="5889" max="5889" width="18.44140625" style="194" bestFit="1" customWidth="1"/>
    <col min="5890" max="5890" width="18.44140625" style="194" customWidth="1"/>
    <col min="5891" max="5894" width="12.77734375" style="194" customWidth="1"/>
    <col min="5895" max="5896" width="18.44140625" style="194" customWidth="1"/>
    <col min="5897" max="5900" width="12.77734375" style="194" customWidth="1"/>
    <col min="5901" max="5901" width="12.21875" style="194" customWidth="1"/>
    <col min="5902" max="5903" width="8.88671875" style="194"/>
    <col min="5904" max="5904" width="12.77734375" style="194" bestFit="1" customWidth="1"/>
    <col min="5905" max="6144" width="8.88671875" style="194"/>
    <col min="6145" max="6145" width="18.44140625" style="194" bestFit="1" customWidth="1"/>
    <col min="6146" max="6146" width="18.44140625" style="194" customWidth="1"/>
    <col min="6147" max="6150" width="12.77734375" style="194" customWidth="1"/>
    <col min="6151" max="6152" width="18.44140625" style="194" customWidth="1"/>
    <col min="6153" max="6156" width="12.77734375" style="194" customWidth="1"/>
    <col min="6157" max="6157" width="12.21875" style="194" customWidth="1"/>
    <col min="6158" max="6159" width="8.88671875" style="194"/>
    <col min="6160" max="6160" width="12.77734375" style="194" bestFit="1" customWidth="1"/>
    <col min="6161" max="6400" width="8.88671875" style="194"/>
    <col min="6401" max="6401" width="18.44140625" style="194" bestFit="1" customWidth="1"/>
    <col min="6402" max="6402" width="18.44140625" style="194" customWidth="1"/>
    <col min="6403" max="6406" width="12.77734375" style="194" customWidth="1"/>
    <col min="6407" max="6408" width="18.44140625" style="194" customWidth="1"/>
    <col min="6409" max="6412" width="12.77734375" style="194" customWidth="1"/>
    <col min="6413" max="6413" width="12.21875" style="194" customWidth="1"/>
    <col min="6414" max="6415" width="8.88671875" style="194"/>
    <col min="6416" max="6416" width="12.77734375" style="194" bestFit="1" customWidth="1"/>
    <col min="6417" max="6656" width="8.88671875" style="194"/>
    <col min="6657" max="6657" width="18.44140625" style="194" bestFit="1" customWidth="1"/>
    <col min="6658" max="6658" width="18.44140625" style="194" customWidth="1"/>
    <col min="6659" max="6662" width="12.77734375" style="194" customWidth="1"/>
    <col min="6663" max="6664" width="18.44140625" style="194" customWidth="1"/>
    <col min="6665" max="6668" width="12.77734375" style="194" customWidth="1"/>
    <col min="6669" max="6669" width="12.21875" style="194" customWidth="1"/>
    <col min="6670" max="6671" width="8.88671875" style="194"/>
    <col min="6672" max="6672" width="12.77734375" style="194" bestFit="1" customWidth="1"/>
    <col min="6673" max="6912" width="8.88671875" style="194"/>
    <col min="6913" max="6913" width="18.44140625" style="194" bestFit="1" customWidth="1"/>
    <col min="6914" max="6914" width="18.44140625" style="194" customWidth="1"/>
    <col min="6915" max="6918" width="12.77734375" style="194" customWidth="1"/>
    <col min="6919" max="6920" width="18.44140625" style="194" customWidth="1"/>
    <col min="6921" max="6924" width="12.77734375" style="194" customWidth="1"/>
    <col min="6925" max="6925" width="12.21875" style="194" customWidth="1"/>
    <col min="6926" max="6927" width="8.88671875" style="194"/>
    <col min="6928" max="6928" width="12.77734375" style="194" bestFit="1" customWidth="1"/>
    <col min="6929" max="7168" width="8.88671875" style="194"/>
    <col min="7169" max="7169" width="18.44140625" style="194" bestFit="1" customWidth="1"/>
    <col min="7170" max="7170" width="18.44140625" style="194" customWidth="1"/>
    <col min="7171" max="7174" width="12.77734375" style="194" customWidth="1"/>
    <col min="7175" max="7176" width="18.44140625" style="194" customWidth="1"/>
    <col min="7177" max="7180" width="12.77734375" style="194" customWidth="1"/>
    <col min="7181" max="7181" width="12.21875" style="194" customWidth="1"/>
    <col min="7182" max="7183" width="8.88671875" style="194"/>
    <col min="7184" max="7184" width="12.77734375" style="194" bestFit="1" customWidth="1"/>
    <col min="7185" max="7424" width="8.88671875" style="194"/>
    <col min="7425" max="7425" width="18.44140625" style="194" bestFit="1" customWidth="1"/>
    <col min="7426" max="7426" width="18.44140625" style="194" customWidth="1"/>
    <col min="7427" max="7430" width="12.77734375" style="194" customWidth="1"/>
    <col min="7431" max="7432" width="18.44140625" style="194" customWidth="1"/>
    <col min="7433" max="7436" width="12.77734375" style="194" customWidth="1"/>
    <col min="7437" max="7437" width="12.21875" style="194" customWidth="1"/>
    <col min="7438" max="7439" width="8.88671875" style="194"/>
    <col min="7440" max="7440" width="12.77734375" style="194" bestFit="1" customWidth="1"/>
    <col min="7441" max="7680" width="8.88671875" style="194"/>
    <col min="7681" max="7681" width="18.44140625" style="194" bestFit="1" customWidth="1"/>
    <col min="7682" max="7682" width="18.44140625" style="194" customWidth="1"/>
    <col min="7683" max="7686" width="12.77734375" style="194" customWidth="1"/>
    <col min="7687" max="7688" width="18.44140625" style="194" customWidth="1"/>
    <col min="7689" max="7692" width="12.77734375" style="194" customWidth="1"/>
    <col min="7693" max="7693" width="12.21875" style="194" customWidth="1"/>
    <col min="7694" max="7695" width="8.88671875" style="194"/>
    <col min="7696" max="7696" width="12.77734375" style="194" bestFit="1" customWidth="1"/>
    <col min="7697" max="7936" width="8.88671875" style="194"/>
    <col min="7937" max="7937" width="18.44140625" style="194" bestFit="1" customWidth="1"/>
    <col min="7938" max="7938" width="18.44140625" style="194" customWidth="1"/>
    <col min="7939" max="7942" width="12.77734375" style="194" customWidth="1"/>
    <col min="7943" max="7944" width="18.44140625" style="194" customWidth="1"/>
    <col min="7945" max="7948" width="12.77734375" style="194" customWidth="1"/>
    <col min="7949" max="7949" width="12.21875" style="194" customWidth="1"/>
    <col min="7950" max="7951" width="8.88671875" style="194"/>
    <col min="7952" max="7952" width="12.77734375" style="194" bestFit="1" customWidth="1"/>
    <col min="7953" max="8192" width="8.88671875" style="194"/>
    <col min="8193" max="8193" width="18.44140625" style="194" bestFit="1" customWidth="1"/>
    <col min="8194" max="8194" width="18.44140625" style="194" customWidth="1"/>
    <col min="8195" max="8198" width="12.77734375" style="194" customWidth="1"/>
    <col min="8199" max="8200" width="18.44140625" style="194" customWidth="1"/>
    <col min="8201" max="8204" width="12.77734375" style="194" customWidth="1"/>
    <col min="8205" max="8205" width="12.21875" style="194" customWidth="1"/>
    <col min="8206" max="8207" width="8.88671875" style="194"/>
    <col min="8208" max="8208" width="12.77734375" style="194" bestFit="1" customWidth="1"/>
    <col min="8209" max="8448" width="8.88671875" style="194"/>
    <col min="8449" max="8449" width="18.44140625" style="194" bestFit="1" customWidth="1"/>
    <col min="8450" max="8450" width="18.44140625" style="194" customWidth="1"/>
    <col min="8451" max="8454" width="12.77734375" style="194" customWidth="1"/>
    <col min="8455" max="8456" width="18.44140625" style="194" customWidth="1"/>
    <col min="8457" max="8460" width="12.77734375" style="194" customWidth="1"/>
    <col min="8461" max="8461" width="12.21875" style="194" customWidth="1"/>
    <col min="8462" max="8463" width="8.88671875" style="194"/>
    <col min="8464" max="8464" width="12.77734375" style="194" bestFit="1" customWidth="1"/>
    <col min="8465" max="8704" width="8.88671875" style="194"/>
    <col min="8705" max="8705" width="18.44140625" style="194" bestFit="1" customWidth="1"/>
    <col min="8706" max="8706" width="18.44140625" style="194" customWidth="1"/>
    <col min="8707" max="8710" width="12.77734375" style="194" customWidth="1"/>
    <col min="8711" max="8712" width="18.44140625" style="194" customWidth="1"/>
    <col min="8713" max="8716" width="12.77734375" style="194" customWidth="1"/>
    <col min="8717" max="8717" width="12.21875" style="194" customWidth="1"/>
    <col min="8718" max="8719" width="8.88671875" style="194"/>
    <col min="8720" max="8720" width="12.77734375" style="194" bestFit="1" customWidth="1"/>
    <col min="8721" max="8960" width="8.88671875" style="194"/>
    <col min="8961" max="8961" width="18.44140625" style="194" bestFit="1" customWidth="1"/>
    <col min="8962" max="8962" width="18.44140625" style="194" customWidth="1"/>
    <col min="8963" max="8966" width="12.77734375" style="194" customWidth="1"/>
    <col min="8967" max="8968" width="18.44140625" style="194" customWidth="1"/>
    <col min="8969" max="8972" width="12.77734375" style="194" customWidth="1"/>
    <col min="8973" max="8973" width="12.21875" style="194" customWidth="1"/>
    <col min="8974" max="8975" width="8.88671875" style="194"/>
    <col min="8976" max="8976" width="12.77734375" style="194" bestFit="1" customWidth="1"/>
    <col min="8977" max="9216" width="8.88671875" style="194"/>
    <col min="9217" max="9217" width="18.44140625" style="194" bestFit="1" customWidth="1"/>
    <col min="9218" max="9218" width="18.44140625" style="194" customWidth="1"/>
    <col min="9219" max="9222" width="12.77734375" style="194" customWidth="1"/>
    <col min="9223" max="9224" width="18.44140625" style="194" customWidth="1"/>
    <col min="9225" max="9228" width="12.77734375" style="194" customWidth="1"/>
    <col min="9229" max="9229" width="12.21875" style="194" customWidth="1"/>
    <col min="9230" max="9231" width="8.88671875" style="194"/>
    <col min="9232" max="9232" width="12.77734375" style="194" bestFit="1" customWidth="1"/>
    <col min="9233" max="9472" width="8.88671875" style="194"/>
    <col min="9473" max="9473" width="18.44140625" style="194" bestFit="1" customWidth="1"/>
    <col min="9474" max="9474" width="18.44140625" style="194" customWidth="1"/>
    <col min="9475" max="9478" width="12.77734375" style="194" customWidth="1"/>
    <col min="9479" max="9480" width="18.44140625" style="194" customWidth="1"/>
    <col min="9481" max="9484" width="12.77734375" style="194" customWidth="1"/>
    <col min="9485" max="9485" width="12.21875" style="194" customWidth="1"/>
    <col min="9486" max="9487" width="8.88671875" style="194"/>
    <col min="9488" max="9488" width="12.77734375" style="194" bestFit="1" customWidth="1"/>
    <col min="9489" max="9728" width="8.88671875" style="194"/>
    <col min="9729" max="9729" width="18.44140625" style="194" bestFit="1" customWidth="1"/>
    <col min="9730" max="9730" width="18.44140625" style="194" customWidth="1"/>
    <col min="9731" max="9734" width="12.77734375" style="194" customWidth="1"/>
    <col min="9735" max="9736" width="18.44140625" style="194" customWidth="1"/>
    <col min="9737" max="9740" width="12.77734375" style="194" customWidth="1"/>
    <col min="9741" max="9741" width="12.21875" style="194" customWidth="1"/>
    <col min="9742" max="9743" width="8.88671875" style="194"/>
    <col min="9744" max="9744" width="12.77734375" style="194" bestFit="1" customWidth="1"/>
    <col min="9745" max="9984" width="8.88671875" style="194"/>
    <col min="9985" max="9985" width="18.44140625" style="194" bestFit="1" customWidth="1"/>
    <col min="9986" max="9986" width="18.44140625" style="194" customWidth="1"/>
    <col min="9987" max="9990" width="12.77734375" style="194" customWidth="1"/>
    <col min="9991" max="9992" width="18.44140625" style="194" customWidth="1"/>
    <col min="9993" max="9996" width="12.77734375" style="194" customWidth="1"/>
    <col min="9997" max="9997" width="12.21875" style="194" customWidth="1"/>
    <col min="9998" max="9999" width="8.88671875" style="194"/>
    <col min="10000" max="10000" width="12.77734375" style="194" bestFit="1" customWidth="1"/>
    <col min="10001" max="10240" width="8.88671875" style="194"/>
    <col min="10241" max="10241" width="18.44140625" style="194" bestFit="1" customWidth="1"/>
    <col min="10242" max="10242" width="18.44140625" style="194" customWidth="1"/>
    <col min="10243" max="10246" width="12.77734375" style="194" customWidth="1"/>
    <col min="10247" max="10248" width="18.44140625" style="194" customWidth="1"/>
    <col min="10249" max="10252" width="12.77734375" style="194" customWidth="1"/>
    <col min="10253" max="10253" width="12.21875" style="194" customWidth="1"/>
    <col min="10254" max="10255" width="8.88671875" style="194"/>
    <col min="10256" max="10256" width="12.77734375" style="194" bestFit="1" customWidth="1"/>
    <col min="10257" max="10496" width="8.88671875" style="194"/>
    <col min="10497" max="10497" width="18.44140625" style="194" bestFit="1" customWidth="1"/>
    <col min="10498" max="10498" width="18.44140625" style="194" customWidth="1"/>
    <col min="10499" max="10502" width="12.77734375" style="194" customWidth="1"/>
    <col min="10503" max="10504" width="18.44140625" style="194" customWidth="1"/>
    <col min="10505" max="10508" width="12.77734375" style="194" customWidth="1"/>
    <col min="10509" max="10509" width="12.21875" style="194" customWidth="1"/>
    <col min="10510" max="10511" width="8.88671875" style="194"/>
    <col min="10512" max="10512" width="12.77734375" style="194" bestFit="1" customWidth="1"/>
    <col min="10513" max="10752" width="8.88671875" style="194"/>
    <col min="10753" max="10753" width="18.44140625" style="194" bestFit="1" customWidth="1"/>
    <col min="10754" max="10754" width="18.44140625" style="194" customWidth="1"/>
    <col min="10755" max="10758" width="12.77734375" style="194" customWidth="1"/>
    <col min="10759" max="10760" width="18.44140625" style="194" customWidth="1"/>
    <col min="10761" max="10764" width="12.77734375" style="194" customWidth="1"/>
    <col min="10765" max="10765" width="12.21875" style="194" customWidth="1"/>
    <col min="10766" max="10767" width="8.88671875" style="194"/>
    <col min="10768" max="10768" width="12.77734375" style="194" bestFit="1" customWidth="1"/>
    <col min="10769" max="11008" width="8.88671875" style="194"/>
    <col min="11009" max="11009" width="18.44140625" style="194" bestFit="1" customWidth="1"/>
    <col min="11010" max="11010" width="18.44140625" style="194" customWidth="1"/>
    <col min="11011" max="11014" width="12.77734375" style="194" customWidth="1"/>
    <col min="11015" max="11016" width="18.44140625" style="194" customWidth="1"/>
    <col min="11017" max="11020" width="12.77734375" style="194" customWidth="1"/>
    <col min="11021" max="11021" width="12.21875" style="194" customWidth="1"/>
    <col min="11022" max="11023" width="8.88671875" style="194"/>
    <col min="11024" max="11024" width="12.77734375" style="194" bestFit="1" customWidth="1"/>
    <col min="11025" max="11264" width="8.88671875" style="194"/>
    <col min="11265" max="11265" width="18.44140625" style="194" bestFit="1" customWidth="1"/>
    <col min="11266" max="11266" width="18.44140625" style="194" customWidth="1"/>
    <col min="11267" max="11270" width="12.77734375" style="194" customWidth="1"/>
    <col min="11271" max="11272" width="18.44140625" style="194" customWidth="1"/>
    <col min="11273" max="11276" width="12.77734375" style="194" customWidth="1"/>
    <col min="11277" max="11277" width="12.21875" style="194" customWidth="1"/>
    <col min="11278" max="11279" width="8.88671875" style="194"/>
    <col min="11280" max="11280" width="12.77734375" style="194" bestFit="1" customWidth="1"/>
    <col min="11281" max="11520" width="8.88671875" style="194"/>
    <col min="11521" max="11521" width="18.44140625" style="194" bestFit="1" customWidth="1"/>
    <col min="11522" max="11522" width="18.44140625" style="194" customWidth="1"/>
    <col min="11523" max="11526" width="12.77734375" style="194" customWidth="1"/>
    <col min="11527" max="11528" width="18.44140625" style="194" customWidth="1"/>
    <col min="11529" max="11532" width="12.77734375" style="194" customWidth="1"/>
    <col min="11533" max="11533" width="12.21875" style="194" customWidth="1"/>
    <col min="11534" max="11535" width="8.88671875" style="194"/>
    <col min="11536" max="11536" width="12.77734375" style="194" bestFit="1" customWidth="1"/>
    <col min="11537" max="11776" width="8.88671875" style="194"/>
    <col min="11777" max="11777" width="18.44140625" style="194" bestFit="1" customWidth="1"/>
    <col min="11778" max="11778" width="18.44140625" style="194" customWidth="1"/>
    <col min="11779" max="11782" width="12.77734375" style="194" customWidth="1"/>
    <col min="11783" max="11784" width="18.44140625" style="194" customWidth="1"/>
    <col min="11785" max="11788" width="12.77734375" style="194" customWidth="1"/>
    <col min="11789" max="11789" width="12.21875" style="194" customWidth="1"/>
    <col min="11790" max="11791" width="8.88671875" style="194"/>
    <col min="11792" max="11792" width="12.77734375" style="194" bestFit="1" customWidth="1"/>
    <col min="11793" max="12032" width="8.88671875" style="194"/>
    <col min="12033" max="12033" width="18.44140625" style="194" bestFit="1" customWidth="1"/>
    <col min="12034" max="12034" width="18.44140625" style="194" customWidth="1"/>
    <col min="12035" max="12038" width="12.77734375" style="194" customWidth="1"/>
    <col min="12039" max="12040" width="18.44140625" style="194" customWidth="1"/>
    <col min="12041" max="12044" width="12.77734375" style="194" customWidth="1"/>
    <col min="12045" max="12045" width="12.21875" style="194" customWidth="1"/>
    <col min="12046" max="12047" width="8.88671875" style="194"/>
    <col min="12048" max="12048" width="12.77734375" style="194" bestFit="1" customWidth="1"/>
    <col min="12049" max="12288" width="8.88671875" style="194"/>
    <col min="12289" max="12289" width="18.44140625" style="194" bestFit="1" customWidth="1"/>
    <col min="12290" max="12290" width="18.44140625" style="194" customWidth="1"/>
    <col min="12291" max="12294" width="12.77734375" style="194" customWidth="1"/>
    <col min="12295" max="12296" width="18.44140625" style="194" customWidth="1"/>
    <col min="12297" max="12300" width="12.77734375" style="194" customWidth="1"/>
    <col min="12301" max="12301" width="12.21875" style="194" customWidth="1"/>
    <col min="12302" max="12303" width="8.88671875" style="194"/>
    <col min="12304" max="12304" width="12.77734375" style="194" bestFit="1" customWidth="1"/>
    <col min="12305" max="12544" width="8.88671875" style="194"/>
    <col min="12545" max="12545" width="18.44140625" style="194" bestFit="1" customWidth="1"/>
    <col min="12546" max="12546" width="18.44140625" style="194" customWidth="1"/>
    <col min="12547" max="12550" width="12.77734375" style="194" customWidth="1"/>
    <col min="12551" max="12552" width="18.44140625" style="194" customWidth="1"/>
    <col min="12553" max="12556" width="12.77734375" style="194" customWidth="1"/>
    <col min="12557" max="12557" width="12.21875" style="194" customWidth="1"/>
    <col min="12558" max="12559" width="8.88671875" style="194"/>
    <col min="12560" max="12560" width="12.77734375" style="194" bestFit="1" customWidth="1"/>
    <col min="12561" max="12800" width="8.88671875" style="194"/>
    <col min="12801" max="12801" width="18.44140625" style="194" bestFit="1" customWidth="1"/>
    <col min="12802" max="12802" width="18.44140625" style="194" customWidth="1"/>
    <col min="12803" max="12806" width="12.77734375" style="194" customWidth="1"/>
    <col min="12807" max="12808" width="18.44140625" style="194" customWidth="1"/>
    <col min="12809" max="12812" width="12.77734375" style="194" customWidth="1"/>
    <col min="12813" max="12813" width="12.21875" style="194" customWidth="1"/>
    <col min="12814" max="12815" width="8.88671875" style="194"/>
    <col min="12816" max="12816" width="12.77734375" style="194" bestFit="1" customWidth="1"/>
    <col min="12817" max="13056" width="8.88671875" style="194"/>
    <col min="13057" max="13057" width="18.44140625" style="194" bestFit="1" customWidth="1"/>
    <col min="13058" max="13058" width="18.44140625" style="194" customWidth="1"/>
    <col min="13059" max="13062" width="12.77734375" style="194" customWidth="1"/>
    <col min="13063" max="13064" width="18.44140625" style="194" customWidth="1"/>
    <col min="13065" max="13068" width="12.77734375" style="194" customWidth="1"/>
    <col min="13069" max="13069" width="12.21875" style="194" customWidth="1"/>
    <col min="13070" max="13071" width="8.88671875" style="194"/>
    <col min="13072" max="13072" width="12.77734375" style="194" bestFit="1" customWidth="1"/>
    <col min="13073" max="13312" width="8.88671875" style="194"/>
    <col min="13313" max="13313" width="18.44140625" style="194" bestFit="1" customWidth="1"/>
    <col min="13314" max="13314" width="18.44140625" style="194" customWidth="1"/>
    <col min="13315" max="13318" width="12.77734375" style="194" customWidth="1"/>
    <col min="13319" max="13320" width="18.44140625" style="194" customWidth="1"/>
    <col min="13321" max="13324" width="12.77734375" style="194" customWidth="1"/>
    <col min="13325" max="13325" width="12.21875" style="194" customWidth="1"/>
    <col min="13326" max="13327" width="8.88671875" style="194"/>
    <col min="13328" max="13328" width="12.77734375" style="194" bestFit="1" customWidth="1"/>
    <col min="13329" max="13568" width="8.88671875" style="194"/>
    <col min="13569" max="13569" width="18.44140625" style="194" bestFit="1" customWidth="1"/>
    <col min="13570" max="13570" width="18.44140625" style="194" customWidth="1"/>
    <col min="13571" max="13574" width="12.77734375" style="194" customWidth="1"/>
    <col min="13575" max="13576" width="18.44140625" style="194" customWidth="1"/>
    <col min="13577" max="13580" width="12.77734375" style="194" customWidth="1"/>
    <col min="13581" max="13581" width="12.21875" style="194" customWidth="1"/>
    <col min="13582" max="13583" width="8.88671875" style="194"/>
    <col min="13584" max="13584" width="12.77734375" style="194" bestFit="1" customWidth="1"/>
    <col min="13585" max="13824" width="8.88671875" style="194"/>
    <col min="13825" max="13825" width="18.44140625" style="194" bestFit="1" customWidth="1"/>
    <col min="13826" max="13826" width="18.44140625" style="194" customWidth="1"/>
    <col min="13827" max="13830" width="12.77734375" style="194" customWidth="1"/>
    <col min="13831" max="13832" width="18.44140625" style="194" customWidth="1"/>
    <col min="13833" max="13836" width="12.77734375" style="194" customWidth="1"/>
    <col min="13837" max="13837" width="12.21875" style="194" customWidth="1"/>
    <col min="13838" max="13839" width="8.88671875" style="194"/>
    <col min="13840" max="13840" width="12.77734375" style="194" bestFit="1" customWidth="1"/>
    <col min="13841" max="14080" width="8.88671875" style="194"/>
    <col min="14081" max="14081" width="18.44140625" style="194" bestFit="1" customWidth="1"/>
    <col min="14082" max="14082" width="18.44140625" style="194" customWidth="1"/>
    <col min="14083" max="14086" width="12.77734375" style="194" customWidth="1"/>
    <col min="14087" max="14088" width="18.44140625" style="194" customWidth="1"/>
    <col min="14089" max="14092" width="12.77734375" style="194" customWidth="1"/>
    <col min="14093" max="14093" width="12.21875" style="194" customWidth="1"/>
    <col min="14094" max="14095" width="8.88671875" style="194"/>
    <col min="14096" max="14096" width="12.77734375" style="194" bestFit="1" customWidth="1"/>
    <col min="14097" max="14336" width="8.88671875" style="194"/>
    <col min="14337" max="14337" width="18.44140625" style="194" bestFit="1" customWidth="1"/>
    <col min="14338" max="14338" width="18.44140625" style="194" customWidth="1"/>
    <col min="14339" max="14342" width="12.77734375" style="194" customWidth="1"/>
    <col min="14343" max="14344" width="18.44140625" style="194" customWidth="1"/>
    <col min="14345" max="14348" width="12.77734375" style="194" customWidth="1"/>
    <col min="14349" max="14349" width="12.21875" style="194" customWidth="1"/>
    <col min="14350" max="14351" width="8.88671875" style="194"/>
    <col min="14352" max="14352" width="12.77734375" style="194" bestFit="1" customWidth="1"/>
    <col min="14353" max="14592" width="8.88671875" style="194"/>
    <col min="14593" max="14593" width="18.44140625" style="194" bestFit="1" customWidth="1"/>
    <col min="14594" max="14594" width="18.44140625" style="194" customWidth="1"/>
    <col min="14595" max="14598" width="12.77734375" style="194" customWidth="1"/>
    <col min="14599" max="14600" width="18.44140625" style="194" customWidth="1"/>
    <col min="14601" max="14604" width="12.77734375" style="194" customWidth="1"/>
    <col min="14605" max="14605" width="12.21875" style="194" customWidth="1"/>
    <col min="14606" max="14607" width="8.88671875" style="194"/>
    <col min="14608" max="14608" width="12.77734375" style="194" bestFit="1" customWidth="1"/>
    <col min="14609" max="14848" width="8.88671875" style="194"/>
    <col min="14849" max="14849" width="18.44140625" style="194" bestFit="1" customWidth="1"/>
    <col min="14850" max="14850" width="18.44140625" style="194" customWidth="1"/>
    <col min="14851" max="14854" width="12.77734375" style="194" customWidth="1"/>
    <col min="14855" max="14856" width="18.44140625" style="194" customWidth="1"/>
    <col min="14857" max="14860" width="12.77734375" style="194" customWidth="1"/>
    <col min="14861" max="14861" width="12.21875" style="194" customWidth="1"/>
    <col min="14862" max="14863" width="8.88671875" style="194"/>
    <col min="14864" max="14864" width="12.77734375" style="194" bestFit="1" customWidth="1"/>
    <col min="14865" max="15104" width="8.88671875" style="194"/>
    <col min="15105" max="15105" width="18.44140625" style="194" bestFit="1" customWidth="1"/>
    <col min="15106" max="15106" width="18.44140625" style="194" customWidth="1"/>
    <col min="15107" max="15110" width="12.77734375" style="194" customWidth="1"/>
    <col min="15111" max="15112" width="18.44140625" style="194" customWidth="1"/>
    <col min="15113" max="15116" width="12.77734375" style="194" customWidth="1"/>
    <col min="15117" max="15117" width="12.21875" style="194" customWidth="1"/>
    <col min="15118" max="15119" width="8.88671875" style="194"/>
    <col min="15120" max="15120" width="12.77734375" style="194" bestFit="1" customWidth="1"/>
    <col min="15121" max="15360" width="8.88671875" style="194"/>
    <col min="15361" max="15361" width="18.44140625" style="194" bestFit="1" customWidth="1"/>
    <col min="15362" max="15362" width="18.44140625" style="194" customWidth="1"/>
    <col min="15363" max="15366" width="12.77734375" style="194" customWidth="1"/>
    <col min="15367" max="15368" width="18.44140625" style="194" customWidth="1"/>
    <col min="15369" max="15372" width="12.77734375" style="194" customWidth="1"/>
    <col min="15373" max="15373" width="12.21875" style="194" customWidth="1"/>
    <col min="15374" max="15375" width="8.88671875" style="194"/>
    <col min="15376" max="15376" width="12.77734375" style="194" bestFit="1" customWidth="1"/>
    <col min="15377" max="15616" width="8.88671875" style="194"/>
    <col min="15617" max="15617" width="18.44140625" style="194" bestFit="1" customWidth="1"/>
    <col min="15618" max="15618" width="18.44140625" style="194" customWidth="1"/>
    <col min="15619" max="15622" width="12.77734375" style="194" customWidth="1"/>
    <col min="15623" max="15624" width="18.44140625" style="194" customWidth="1"/>
    <col min="15625" max="15628" width="12.77734375" style="194" customWidth="1"/>
    <col min="15629" max="15629" width="12.21875" style="194" customWidth="1"/>
    <col min="15630" max="15631" width="8.88671875" style="194"/>
    <col min="15632" max="15632" width="12.77734375" style="194" bestFit="1" customWidth="1"/>
    <col min="15633" max="15872" width="8.88671875" style="194"/>
    <col min="15873" max="15873" width="18.44140625" style="194" bestFit="1" customWidth="1"/>
    <col min="15874" max="15874" width="18.44140625" style="194" customWidth="1"/>
    <col min="15875" max="15878" width="12.77734375" style="194" customWidth="1"/>
    <col min="15879" max="15880" width="18.44140625" style="194" customWidth="1"/>
    <col min="15881" max="15884" width="12.77734375" style="194" customWidth="1"/>
    <col min="15885" max="15885" width="12.21875" style="194" customWidth="1"/>
    <col min="15886" max="15887" width="8.88671875" style="194"/>
    <col min="15888" max="15888" width="12.77734375" style="194" bestFit="1" customWidth="1"/>
    <col min="15889" max="16128" width="8.88671875" style="194"/>
    <col min="16129" max="16129" width="18.44140625" style="194" bestFit="1" customWidth="1"/>
    <col min="16130" max="16130" width="18.44140625" style="194" customWidth="1"/>
    <col min="16131" max="16134" width="12.77734375" style="194" customWidth="1"/>
    <col min="16135" max="16136" width="18.44140625" style="194" customWidth="1"/>
    <col min="16137" max="16140" width="12.77734375" style="194" customWidth="1"/>
    <col min="16141" max="16141" width="12.21875" style="194" customWidth="1"/>
    <col min="16142" max="16143" width="8.88671875" style="194"/>
    <col min="16144" max="16144" width="12.77734375" style="194" bestFit="1" customWidth="1"/>
    <col min="16145" max="16384" width="8.88671875" style="194"/>
  </cols>
  <sheetData>
    <row r="2" spans="1:14" ht="33.75" customHeight="1">
      <c r="A2" s="1151" t="s">
        <v>712</v>
      </c>
      <c r="B2" s="1151"/>
      <c r="C2" s="1151"/>
      <c r="D2" s="1151"/>
      <c r="E2" s="1151"/>
      <c r="F2" s="1151"/>
      <c r="G2" s="1151"/>
      <c r="H2" s="1151"/>
      <c r="I2" s="1151"/>
      <c r="J2" s="1151"/>
      <c r="K2" s="1151"/>
      <c r="L2" s="1151"/>
    </row>
    <row r="3" spans="1:14" ht="14.1" customHeight="1">
      <c r="A3" s="195"/>
      <c r="B3" s="195"/>
      <c r="C3" s="196"/>
      <c r="D3" s="196"/>
      <c r="E3" s="196"/>
      <c r="F3" s="196"/>
      <c r="G3" s="195"/>
      <c r="H3" s="195"/>
      <c r="I3" s="195"/>
      <c r="J3" s="195"/>
      <c r="K3" s="195"/>
      <c r="L3" s="196"/>
    </row>
    <row r="4" spans="1:14" ht="16.5" customHeight="1">
      <c r="A4" s="1152" t="s">
        <v>219</v>
      </c>
      <c r="B4" s="1152"/>
      <c r="C4" s="1152"/>
      <c r="D4" s="1152"/>
      <c r="E4" s="1152"/>
      <c r="F4" s="1152"/>
      <c r="G4" s="1152"/>
      <c r="H4" s="1152"/>
      <c r="I4" s="1152"/>
      <c r="J4" s="1152"/>
      <c r="K4" s="1152"/>
      <c r="L4" s="1152"/>
    </row>
    <row r="5" spans="1:14" ht="14.1" customHeight="1" thickBot="1"/>
    <row r="6" spans="1:14" ht="42" customHeight="1">
      <c r="A6" s="1153" t="s">
        <v>220</v>
      </c>
      <c r="B6" s="1154"/>
      <c r="C6" s="1155"/>
      <c r="D6" s="530"/>
      <c r="E6" s="530"/>
      <c r="F6" s="567"/>
      <c r="G6" s="1153" t="s">
        <v>221</v>
      </c>
      <c r="H6" s="1154"/>
      <c r="I6" s="1154"/>
      <c r="J6" s="1154"/>
      <c r="K6" s="1154"/>
      <c r="L6" s="1156"/>
    </row>
    <row r="7" spans="1:14" ht="42" customHeight="1">
      <c r="A7" s="1157" t="s">
        <v>242</v>
      </c>
      <c r="B7" s="1158"/>
      <c r="C7" s="198" t="s">
        <v>225</v>
      </c>
      <c r="D7" s="198" t="s">
        <v>409</v>
      </c>
      <c r="E7" s="198" t="s">
        <v>227</v>
      </c>
      <c r="F7" s="510" t="s">
        <v>412</v>
      </c>
      <c r="G7" s="1157" t="s">
        <v>242</v>
      </c>
      <c r="H7" s="1158"/>
      <c r="I7" s="198" t="s">
        <v>225</v>
      </c>
      <c r="J7" s="531" t="s">
        <v>414</v>
      </c>
      <c r="K7" s="531" t="s">
        <v>413</v>
      </c>
      <c r="L7" s="524" t="s">
        <v>228</v>
      </c>
    </row>
    <row r="8" spans="1:14" ht="42" customHeight="1">
      <c r="A8" s="1159" t="s">
        <v>37</v>
      </c>
      <c r="B8" s="1160"/>
      <c r="C8" s="209">
        <f>SUM(C9,C11,C13,C15,C17,C19)</f>
        <v>2293426887</v>
      </c>
      <c r="D8" s="209">
        <f>SUM(D9,D11,D13,D15,D17,D19)</f>
        <v>2349424429</v>
      </c>
      <c r="E8" s="209" t="e">
        <f>SUM(E9,E11,E13,E15,E17,E19)</f>
        <v>#REF!</v>
      </c>
      <c r="F8" s="568">
        <f>SUM(F9,F11,F13,F15,F17,F19)</f>
        <v>55997542</v>
      </c>
      <c r="G8" s="1159" t="s">
        <v>37</v>
      </c>
      <c r="H8" s="1160"/>
      <c r="I8" s="209">
        <f>I9+I13+I15+I17+I21+I19</f>
        <v>2293426887</v>
      </c>
      <c r="J8" s="209">
        <f t="shared" ref="J8:K8" si="0">J9+J13+J15+J17+J21+J19</f>
        <v>2349424429</v>
      </c>
      <c r="K8" s="209" t="e">
        <f t="shared" si="0"/>
        <v>#REF!</v>
      </c>
      <c r="L8" s="1098">
        <f>L9+L13+L15+L17+L21+L19</f>
        <v>55997542</v>
      </c>
      <c r="N8" s="206"/>
    </row>
    <row r="9" spans="1:14" ht="42" customHeight="1">
      <c r="A9" s="1149" t="s">
        <v>231</v>
      </c>
      <c r="B9" s="199" t="s">
        <v>213</v>
      </c>
      <c r="C9" s="199">
        <f>C10</f>
        <v>20000000</v>
      </c>
      <c r="D9" s="199">
        <f t="shared" ref="D9:E9" si="1">D10</f>
        <v>20000000</v>
      </c>
      <c r="E9" s="199">
        <f t="shared" si="1"/>
        <v>2135827910</v>
      </c>
      <c r="F9" s="1096">
        <f t="shared" ref="F9:F18" si="2">D9-C9</f>
        <v>0</v>
      </c>
      <c r="G9" s="1149" t="s">
        <v>184</v>
      </c>
      <c r="H9" s="199" t="s">
        <v>213</v>
      </c>
      <c r="I9" s="200">
        <f>I10+I11+I12</f>
        <v>985825330</v>
      </c>
      <c r="J9" s="200">
        <f>J10+J11+J12</f>
        <v>1023873131</v>
      </c>
      <c r="K9" s="200">
        <f>K10+K11+K12</f>
        <v>1020199129</v>
      </c>
      <c r="L9" s="1099">
        <f>L10+L11+L12</f>
        <v>38047801</v>
      </c>
    </row>
    <row r="10" spans="1:14" ht="42" customHeight="1">
      <c r="A10" s="1150"/>
      <c r="B10" s="201" t="s">
        <v>231</v>
      </c>
      <c r="C10" s="198">
        <f>세입세출요약표!D10</f>
        <v>20000000</v>
      </c>
      <c r="D10" s="198">
        <f>세입세출요약표!E10</f>
        <v>20000000</v>
      </c>
      <c r="E10" s="198">
        <f>세입세출요약표!F11</f>
        <v>2135827910</v>
      </c>
      <c r="F10" s="1097">
        <f t="shared" si="2"/>
        <v>0</v>
      </c>
      <c r="G10" s="1161"/>
      <c r="H10" s="201" t="s">
        <v>44</v>
      </c>
      <c r="I10" s="511">
        <f>세입세출요약표!K11</f>
        <v>877132700</v>
      </c>
      <c r="J10" s="511">
        <f>세입세출요약표!L11</f>
        <v>905746500</v>
      </c>
      <c r="K10" s="511">
        <f>세입세출요약표!M$11</f>
        <v>902096500</v>
      </c>
      <c r="L10" s="1100">
        <f>J10-I10</f>
        <v>28613800</v>
      </c>
    </row>
    <row r="11" spans="1:14" ht="42" customHeight="1">
      <c r="A11" s="1149" t="s">
        <v>33</v>
      </c>
      <c r="B11" s="199" t="s">
        <v>213</v>
      </c>
      <c r="C11" s="199">
        <f>C12</f>
        <v>2088973810</v>
      </c>
      <c r="D11" s="199">
        <f t="shared" ref="D11:E11" si="3">D12</f>
        <v>2115827910</v>
      </c>
      <c r="E11" s="199">
        <f t="shared" si="3"/>
        <v>758873660</v>
      </c>
      <c r="F11" s="1096">
        <f t="shared" si="2"/>
        <v>26854100</v>
      </c>
      <c r="G11" s="1161"/>
      <c r="H11" s="201" t="s">
        <v>185</v>
      </c>
      <c r="I11" s="511">
        <f>세입세출요약표!K23</f>
        <v>4850000</v>
      </c>
      <c r="J11" s="511">
        <f>세입세출요약표!L23</f>
        <v>4800000</v>
      </c>
      <c r="K11" s="511">
        <f>세입세출요약표!M$23</f>
        <v>4800000</v>
      </c>
      <c r="L11" s="1100">
        <f>J11-I11</f>
        <v>-50000</v>
      </c>
    </row>
    <row r="12" spans="1:14" ht="42" customHeight="1">
      <c r="A12" s="1150"/>
      <c r="B12" s="201" t="s">
        <v>243</v>
      </c>
      <c r="C12" s="202">
        <f>세입세출요약표!D14</f>
        <v>2088973810</v>
      </c>
      <c r="D12" s="202">
        <f>세입세출요약표!E14</f>
        <v>2115827910</v>
      </c>
      <c r="E12" s="202">
        <f>세입세출요약표!F15</f>
        <v>758873660</v>
      </c>
      <c r="F12" s="1097">
        <f t="shared" si="2"/>
        <v>26854100</v>
      </c>
      <c r="G12" s="1150"/>
      <c r="H12" s="201" t="s">
        <v>188</v>
      </c>
      <c r="I12" s="511">
        <f>세입세출요약표!K16</f>
        <v>103842630</v>
      </c>
      <c r="J12" s="511">
        <f>세입세출요약표!L16</f>
        <v>113326631</v>
      </c>
      <c r="K12" s="511">
        <f>세입세출요약표!M$16</f>
        <v>113302629</v>
      </c>
      <c r="L12" s="1100">
        <f>J12-I12</f>
        <v>9484001</v>
      </c>
    </row>
    <row r="13" spans="1:14" ht="42" customHeight="1">
      <c r="A13" s="1149" t="s">
        <v>35</v>
      </c>
      <c r="B13" s="203" t="s">
        <v>213</v>
      </c>
      <c r="C13" s="204">
        <f>C14</f>
        <v>18900000</v>
      </c>
      <c r="D13" s="204">
        <f t="shared" ref="D13:E13" si="4">D14</f>
        <v>19140000</v>
      </c>
      <c r="E13" s="204">
        <f t="shared" si="4"/>
        <v>19140000</v>
      </c>
      <c r="F13" s="1096">
        <f t="shared" si="2"/>
        <v>240000</v>
      </c>
      <c r="G13" s="1149" t="s">
        <v>196</v>
      </c>
      <c r="H13" s="199" t="s">
        <v>213</v>
      </c>
      <c r="I13" s="200">
        <f>I14</f>
        <v>84437000</v>
      </c>
      <c r="J13" s="200">
        <f>J14</f>
        <v>43990000</v>
      </c>
      <c r="K13" s="200">
        <f>K14</f>
        <v>187460000</v>
      </c>
      <c r="L13" s="1101">
        <f>L14</f>
        <v>-40447000</v>
      </c>
    </row>
    <row r="14" spans="1:14" ht="42" customHeight="1">
      <c r="A14" s="1150"/>
      <c r="B14" s="531" t="s">
        <v>207</v>
      </c>
      <c r="C14" s="202">
        <f>세입세출요약표!D23</f>
        <v>18900000</v>
      </c>
      <c r="D14" s="202">
        <f>세입세출요약표!E23</f>
        <v>19140000</v>
      </c>
      <c r="E14" s="202">
        <f>세입세출요약표!F23</f>
        <v>19140000</v>
      </c>
      <c r="F14" s="1097">
        <f t="shared" si="2"/>
        <v>240000</v>
      </c>
      <c r="G14" s="1150"/>
      <c r="H14" s="201" t="s">
        <v>197</v>
      </c>
      <c r="I14" s="511">
        <f>세입세출요약표!K26</f>
        <v>84437000</v>
      </c>
      <c r="J14" s="511">
        <f>세입세출요약표!L26</f>
        <v>43990000</v>
      </c>
      <c r="K14" s="511">
        <f>세입세출요약표!M$27</f>
        <v>187460000</v>
      </c>
      <c r="L14" s="1100">
        <f>J14-I14</f>
        <v>-40447000</v>
      </c>
    </row>
    <row r="15" spans="1:14" ht="42" customHeight="1">
      <c r="A15" s="1149" t="s">
        <v>34</v>
      </c>
      <c r="B15" s="203" t="s">
        <v>213</v>
      </c>
      <c r="C15" s="199">
        <f>C16</f>
        <v>20000000</v>
      </c>
      <c r="D15" s="199">
        <f t="shared" ref="D15:E15" si="5">D16</f>
        <v>20000000</v>
      </c>
      <c r="E15" s="199" t="e">
        <f t="shared" si="5"/>
        <v>#REF!</v>
      </c>
      <c r="F15" s="1096">
        <f t="shared" si="2"/>
        <v>0</v>
      </c>
      <c r="G15" s="1149" t="s">
        <v>116</v>
      </c>
      <c r="H15" s="199" t="s">
        <v>213</v>
      </c>
      <c r="I15" s="200">
        <f>I16</f>
        <v>1158811480</v>
      </c>
      <c r="J15" s="200">
        <f t="shared" ref="J15:K15" si="6">J16</f>
        <v>1193143968</v>
      </c>
      <c r="K15" s="200">
        <f t="shared" si="6"/>
        <v>0</v>
      </c>
      <c r="L15" s="1102">
        <f>L16</f>
        <v>34332488</v>
      </c>
    </row>
    <row r="16" spans="1:14" ht="42" customHeight="1">
      <c r="A16" s="1150"/>
      <c r="B16" s="531" t="s">
        <v>34</v>
      </c>
      <c r="C16" s="198">
        <f>세입세출요약표!D27</f>
        <v>20000000</v>
      </c>
      <c r="D16" s="198">
        <f>세입세출요약표!E27</f>
        <v>20000000</v>
      </c>
      <c r="E16" s="198" t="e">
        <f>세입세출요약표!F29</f>
        <v>#REF!</v>
      </c>
      <c r="F16" s="1097">
        <f t="shared" si="2"/>
        <v>0</v>
      </c>
      <c r="G16" s="1150"/>
      <c r="H16" s="201" t="s">
        <v>116</v>
      </c>
      <c r="I16" s="511">
        <f>세입세출요약표!K31</f>
        <v>1158811480</v>
      </c>
      <c r="J16" s="511">
        <f>세입세출요약표!L31</f>
        <v>1193143968</v>
      </c>
      <c r="K16" s="511">
        <f>세입세출요약표!M$30</f>
        <v>0</v>
      </c>
      <c r="L16" s="1100">
        <f>J16-I16</f>
        <v>34332488</v>
      </c>
    </row>
    <row r="17" spans="1:13" ht="42" customHeight="1">
      <c r="A17" s="1149" t="s">
        <v>36</v>
      </c>
      <c r="B17" s="203" t="s">
        <v>213</v>
      </c>
      <c r="C17" s="199">
        <f>C18</f>
        <v>14400000</v>
      </c>
      <c r="D17" s="199">
        <f t="shared" ref="D17:E17" si="7">D18</f>
        <v>18132585</v>
      </c>
      <c r="E17" s="199" t="e">
        <f t="shared" si="7"/>
        <v>#REF!</v>
      </c>
      <c r="F17" s="1096">
        <f t="shared" si="2"/>
        <v>3732585</v>
      </c>
      <c r="G17" s="1149" t="s">
        <v>204</v>
      </c>
      <c r="H17" s="199" t="s">
        <v>213</v>
      </c>
      <c r="I17" s="200">
        <f>I18</f>
        <v>24353077</v>
      </c>
      <c r="J17" s="200">
        <f>J18</f>
        <v>26519660</v>
      </c>
      <c r="K17" s="200">
        <f>K18</f>
        <v>753450680</v>
      </c>
      <c r="L17" s="1102">
        <f>L18</f>
        <v>2166583</v>
      </c>
    </row>
    <row r="18" spans="1:13" ht="42" customHeight="1">
      <c r="A18" s="1161"/>
      <c r="B18" s="531" t="s">
        <v>36</v>
      </c>
      <c r="C18" s="198">
        <f>세입세출요약표!D$30</f>
        <v>14400000</v>
      </c>
      <c r="D18" s="198">
        <f>세입세출요약표!E$30</f>
        <v>18132585</v>
      </c>
      <c r="E18" s="198" t="e">
        <f>세입세출요약표!F$30</f>
        <v>#REF!</v>
      </c>
      <c r="F18" s="1097">
        <f t="shared" si="2"/>
        <v>3732585</v>
      </c>
      <c r="G18" s="1150"/>
      <c r="H18" s="205" t="s">
        <v>204</v>
      </c>
      <c r="I18" s="512">
        <f>세입세출요약표!K38</f>
        <v>24353077</v>
      </c>
      <c r="J18" s="512">
        <f>세입세출요약표!L38</f>
        <v>26519660</v>
      </c>
      <c r="K18" s="512">
        <f>세입세출요약표!M$37</f>
        <v>753450680</v>
      </c>
      <c r="L18" s="1100">
        <f>J18-I18</f>
        <v>2166583</v>
      </c>
    </row>
    <row r="19" spans="1:13" ht="42" customHeight="1">
      <c r="A19" s="1165" t="s">
        <v>130</v>
      </c>
      <c r="B19" s="532" t="s">
        <v>213</v>
      </c>
      <c r="C19" s="199">
        <f>C20</f>
        <v>131153077</v>
      </c>
      <c r="D19" s="199">
        <f t="shared" ref="D19" si="8">D20</f>
        <v>156323934</v>
      </c>
      <c r="E19" s="199">
        <f>E20</f>
        <v>15916978</v>
      </c>
      <c r="F19" s="1096">
        <f>D19-C19</f>
        <v>25170857</v>
      </c>
      <c r="G19" s="1149" t="s">
        <v>441</v>
      </c>
      <c r="H19" s="199" t="s">
        <v>213</v>
      </c>
      <c r="I19" s="200">
        <f>I20</f>
        <v>40000000</v>
      </c>
      <c r="J19" s="200">
        <f>J20</f>
        <v>61897670</v>
      </c>
      <c r="K19" s="200">
        <f>K20</f>
        <v>26487771</v>
      </c>
      <c r="L19" s="1102">
        <f>L20</f>
        <v>21897670</v>
      </c>
    </row>
    <row r="20" spans="1:13" ht="42" customHeight="1" thickBot="1">
      <c r="A20" s="1165"/>
      <c r="B20" s="533" t="s">
        <v>130</v>
      </c>
      <c r="C20" s="198">
        <f>세입세출요약표!D33</f>
        <v>131153077</v>
      </c>
      <c r="D20" s="198">
        <f>세입세출요약표!E33</f>
        <v>156323934</v>
      </c>
      <c r="E20" s="198">
        <f>세입세출요약표!F$35</f>
        <v>15916978</v>
      </c>
      <c r="F20" s="1097">
        <f>D20-C20</f>
        <v>25170857</v>
      </c>
      <c r="G20" s="1161"/>
      <c r="H20" s="571" t="s">
        <v>245</v>
      </c>
      <c r="I20" s="572">
        <f>세입세출요약표!K41</f>
        <v>40000000</v>
      </c>
      <c r="J20" s="572">
        <f>세입세출요약표!L41</f>
        <v>61897670</v>
      </c>
      <c r="K20" s="572">
        <f>세입세출요약표!M$40</f>
        <v>26487771</v>
      </c>
      <c r="L20" s="1100">
        <f>J20-I20</f>
        <v>21897670</v>
      </c>
    </row>
    <row r="21" spans="1:13" ht="42" hidden="1" customHeight="1">
      <c r="A21" s="1162"/>
      <c r="B21" s="534"/>
      <c r="C21" s="535"/>
      <c r="D21" s="535"/>
      <c r="E21" s="535"/>
      <c r="F21" s="569"/>
      <c r="G21" s="1149" t="s">
        <v>441</v>
      </c>
      <c r="H21" s="199" t="s">
        <v>213</v>
      </c>
      <c r="I21" s="200">
        <f>I22</f>
        <v>0</v>
      </c>
      <c r="J21" s="200">
        <f>J22</f>
        <v>0</v>
      </c>
      <c r="K21" s="200" t="e">
        <f>K22</f>
        <v>#REF!</v>
      </c>
      <c r="L21" s="525">
        <f>L22</f>
        <v>0</v>
      </c>
    </row>
    <row r="22" spans="1:13" ht="42" hidden="1" customHeight="1" thickBot="1">
      <c r="A22" s="1163"/>
      <c r="B22" s="536"/>
      <c r="C22" s="537"/>
      <c r="D22" s="537"/>
      <c r="E22" s="537"/>
      <c r="F22" s="570"/>
      <c r="G22" s="1164"/>
      <c r="H22" s="527" t="s">
        <v>245</v>
      </c>
      <c r="I22" s="528"/>
      <c r="J22" s="528"/>
      <c r="K22" s="528" t="e">
        <f>세입세출요약표!#REF!</f>
        <v>#REF!</v>
      </c>
      <c r="L22" s="526"/>
    </row>
    <row r="23" spans="1:13" ht="14.1" customHeight="1" thickBot="1">
      <c r="B23" s="1024"/>
      <c r="C23" s="208"/>
      <c r="D23" s="208"/>
      <c r="E23" s="208"/>
      <c r="F23" s="208"/>
      <c r="G23" s="1025"/>
      <c r="H23" s="1025"/>
      <c r="I23" s="1025"/>
      <c r="J23" s="1025"/>
      <c r="K23" s="1025"/>
      <c r="L23" s="1026" t="s">
        <v>711</v>
      </c>
    </row>
    <row r="24" spans="1:13" ht="15.75" customHeight="1"/>
    <row r="25" spans="1:13">
      <c r="M25" s="206"/>
    </row>
    <row r="77" spans="7:12" ht="17.25" thickBot="1"/>
    <row r="78" spans="7:12" ht="21" customHeight="1" thickBot="1">
      <c r="G78" s="207"/>
      <c r="H78" s="207"/>
      <c r="I78" s="207"/>
      <c r="J78" s="207"/>
      <c r="K78" s="207"/>
      <c r="L78" s="208"/>
    </row>
  </sheetData>
  <mergeCells count="21">
    <mergeCell ref="A15:A16"/>
    <mergeCell ref="G15:G16"/>
    <mergeCell ref="A17:A18"/>
    <mergeCell ref="G17:G18"/>
    <mergeCell ref="A21:A22"/>
    <mergeCell ref="G21:G22"/>
    <mergeCell ref="G19:G20"/>
    <mergeCell ref="A19:A20"/>
    <mergeCell ref="A13:A14"/>
    <mergeCell ref="G13:G14"/>
    <mergeCell ref="A2:L2"/>
    <mergeCell ref="A4:L4"/>
    <mergeCell ref="A6:C6"/>
    <mergeCell ref="G6:L6"/>
    <mergeCell ref="A7:B7"/>
    <mergeCell ref="G7:H7"/>
    <mergeCell ref="A8:B8"/>
    <mergeCell ref="G8:H8"/>
    <mergeCell ref="A9:A10"/>
    <mergeCell ref="G9:G12"/>
    <mergeCell ref="A11:A12"/>
  </mergeCells>
  <phoneticPr fontId="3" type="noConversion"/>
  <printOptions horizontalCentered="1" verticalCentered="1"/>
  <pageMargins left="0.15748031496062992" right="0.19685039370078741" top="0.55118110236220474" bottom="0.55118110236220474" header="0.51181102362204722" footer="0.51181102362204722"/>
  <pageSetup paperSize="9" scale="69" orientation="landscape" r:id="rId1"/>
  <rowBreaks count="1" manualBreakCount="1">
    <brk id="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0EEF-8974-47D8-8691-779A6B8AB2C5}">
  <sheetPr>
    <pageSetUpPr fitToPage="1"/>
  </sheetPr>
  <dimension ref="A2:R128"/>
  <sheetViews>
    <sheetView view="pageBreakPreview" topLeftCell="A28" zoomScaleNormal="100" zoomScaleSheetLayoutView="100" workbookViewId="0">
      <selection activeCell="N19" sqref="N19"/>
    </sheetView>
  </sheetViews>
  <sheetFormatPr defaultRowHeight="16.5"/>
  <cols>
    <col min="1" max="1" width="7.44140625" style="449" customWidth="1"/>
    <col min="2" max="2" width="8.88671875" style="449" customWidth="1"/>
    <col min="3" max="3" width="11.21875" style="449" customWidth="1"/>
    <col min="4" max="4" width="13.44140625" style="452" bestFit="1" customWidth="1"/>
    <col min="5" max="5" width="14.33203125" style="452" bestFit="1" customWidth="1"/>
    <col min="6" max="6" width="12.77734375" style="452" hidden="1" customWidth="1"/>
    <col min="7" max="7" width="13.109375" style="452" customWidth="1"/>
    <col min="8" max="8" width="5.6640625" style="449" customWidth="1"/>
    <col min="9" max="9" width="6.77734375" style="449" customWidth="1"/>
    <col min="10" max="10" width="14.21875" style="449" bestFit="1" customWidth="1"/>
    <col min="11" max="12" width="15.109375" style="452" bestFit="1" customWidth="1"/>
    <col min="13" max="13" width="13.33203125" style="452" hidden="1" customWidth="1"/>
    <col min="14" max="14" width="13.33203125" style="452" customWidth="1"/>
    <col min="15" max="15" width="12.21875" style="449" customWidth="1"/>
    <col min="16" max="16" width="10.44140625" style="449" bestFit="1" customWidth="1"/>
    <col min="17" max="17" width="8.88671875" style="449"/>
    <col min="18" max="18" width="12.77734375" style="449" bestFit="1" customWidth="1"/>
    <col min="19" max="256" width="8.88671875" style="449"/>
    <col min="257" max="257" width="7.44140625" style="449" customWidth="1"/>
    <col min="258" max="258" width="8.88671875" style="449"/>
    <col min="259" max="259" width="11.21875" style="449" customWidth="1"/>
    <col min="260" max="263" width="12.77734375" style="449" customWidth="1"/>
    <col min="264" max="264" width="5.6640625" style="449" customWidth="1"/>
    <col min="265" max="265" width="6.77734375" style="449" customWidth="1"/>
    <col min="266" max="266" width="10.88671875" style="449" bestFit="1" customWidth="1"/>
    <col min="267" max="270" width="12.77734375" style="449" customWidth="1"/>
    <col min="271" max="271" width="12.21875" style="449" customWidth="1"/>
    <col min="272" max="273" width="8.88671875" style="449"/>
    <col min="274" max="274" width="12.77734375" style="449" bestFit="1" customWidth="1"/>
    <col min="275" max="512" width="8.88671875" style="449"/>
    <col min="513" max="513" width="7.44140625" style="449" customWidth="1"/>
    <col min="514" max="514" width="8.88671875" style="449"/>
    <col min="515" max="515" width="11.21875" style="449" customWidth="1"/>
    <col min="516" max="519" width="12.77734375" style="449" customWidth="1"/>
    <col min="520" max="520" width="5.6640625" style="449" customWidth="1"/>
    <col min="521" max="521" width="6.77734375" style="449" customWidth="1"/>
    <col min="522" max="522" width="10.88671875" style="449" bestFit="1" customWidth="1"/>
    <col min="523" max="526" width="12.77734375" style="449" customWidth="1"/>
    <col min="527" max="527" width="12.21875" style="449" customWidth="1"/>
    <col min="528" max="529" width="8.88671875" style="449"/>
    <col min="530" max="530" width="12.77734375" style="449" bestFit="1" customWidth="1"/>
    <col min="531" max="768" width="8.88671875" style="449"/>
    <col min="769" max="769" width="7.44140625" style="449" customWidth="1"/>
    <col min="770" max="770" width="8.88671875" style="449"/>
    <col min="771" max="771" width="11.21875" style="449" customWidth="1"/>
    <col min="772" max="775" width="12.77734375" style="449" customWidth="1"/>
    <col min="776" max="776" width="5.6640625" style="449" customWidth="1"/>
    <col min="777" max="777" width="6.77734375" style="449" customWidth="1"/>
    <col min="778" max="778" width="10.88671875" style="449" bestFit="1" customWidth="1"/>
    <col min="779" max="782" width="12.77734375" style="449" customWidth="1"/>
    <col min="783" max="783" width="12.21875" style="449" customWidth="1"/>
    <col min="784" max="785" width="8.88671875" style="449"/>
    <col min="786" max="786" width="12.77734375" style="449" bestFit="1" customWidth="1"/>
    <col min="787" max="1024" width="8.88671875" style="449"/>
    <col min="1025" max="1025" width="7.44140625" style="449" customWidth="1"/>
    <col min="1026" max="1026" width="8.88671875" style="449"/>
    <col min="1027" max="1027" width="11.21875" style="449" customWidth="1"/>
    <col min="1028" max="1031" width="12.77734375" style="449" customWidth="1"/>
    <col min="1032" max="1032" width="5.6640625" style="449" customWidth="1"/>
    <col min="1033" max="1033" width="6.77734375" style="449" customWidth="1"/>
    <col min="1034" max="1034" width="10.88671875" style="449" bestFit="1" customWidth="1"/>
    <col min="1035" max="1038" width="12.77734375" style="449" customWidth="1"/>
    <col min="1039" max="1039" width="12.21875" style="449" customWidth="1"/>
    <col min="1040" max="1041" width="8.88671875" style="449"/>
    <col min="1042" max="1042" width="12.77734375" style="449" bestFit="1" customWidth="1"/>
    <col min="1043" max="1280" width="8.88671875" style="449"/>
    <col min="1281" max="1281" width="7.44140625" style="449" customWidth="1"/>
    <col min="1282" max="1282" width="8.88671875" style="449"/>
    <col min="1283" max="1283" width="11.21875" style="449" customWidth="1"/>
    <col min="1284" max="1287" width="12.77734375" style="449" customWidth="1"/>
    <col min="1288" max="1288" width="5.6640625" style="449" customWidth="1"/>
    <col min="1289" max="1289" width="6.77734375" style="449" customWidth="1"/>
    <col min="1290" max="1290" width="10.88671875" style="449" bestFit="1" customWidth="1"/>
    <col min="1291" max="1294" width="12.77734375" style="449" customWidth="1"/>
    <col min="1295" max="1295" width="12.21875" style="449" customWidth="1"/>
    <col min="1296" max="1297" width="8.88671875" style="449"/>
    <col min="1298" max="1298" width="12.77734375" style="449" bestFit="1" customWidth="1"/>
    <col min="1299" max="1536" width="8.88671875" style="449"/>
    <col min="1537" max="1537" width="7.44140625" style="449" customWidth="1"/>
    <col min="1538" max="1538" width="8.88671875" style="449"/>
    <col min="1539" max="1539" width="11.21875" style="449" customWidth="1"/>
    <col min="1540" max="1543" width="12.77734375" style="449" customWidth="1"/>
    <col min="1544" max="1544" width="5.6640625" style="449" customWidth="1"/>
    <col min="1545" max="1545" width="6.77734375" style="449" customWidth="1"/>
    <col min="1546" max="1546" width="10.88671875" style="449" bestFit="1" customWidth="1"/>
    <col min="1547" max="1550" width="12.77734375" style="449" customWidth="1"/>
    <col min="1551" max="1551" width="12.21875" style="449" customWidth="1"/>
    <col min="1552" max="1553" width="8.88671875" style="449"/>
    <col min="1554" max="1554" width="12.77734375" style="449" bestFit="1" customWidth="1"/>
    <col min="1555" max="1792" width="8.88671875" style="449"/>
    <col min="1793" max="1793" width="7.44140625" style="449" customWidth="1"/>
    <col min="1794" max="1794" width="8.88671875" style="449"/>
    <col min="1795" max="1795" width="11.21875" style="449" customWidth="1"/>
    <col min="1796" max="1799" width="12.77734375" style="449" customWidth="1"/>
    <col min="1800" max="1800" width="5.6640625" style="449" customWidth="1"/>
    <col min="1801" max="1801" width="6.77734375" style="449" customWidth="1"/>
    <col min="1802" max="1802" width="10.88671875" style="449" bestFit="1" customWidth="1"/>
    <col min="1803" max="1806" width="12.77734375" style="449" customWidth="1"/>
    <col min="1807" max="1807" width="12.21875" style="449" customWidth="1"/>
    <col min="1808" max="1809" width="8.88671875" style="449"/>
    <col min="1810" max="1810" width="12.77734375" style="449" bestFit="1" customWidth="1"/>
    <col min="1811" max="2048" width="8.88671875" style="449"/>
    <col min="2049" max="2049" width="7.44140625" style="449" customWidth="1"/>
    <col min="2050" max="2050" width="8.88671875" style="449"/>
    <col min="2051" max="2051" width="11.21875" style="449" customWidth="1"/>
    <col min="2052" max="2055" width="12.77734375" style="449" customWidth="1"/>
    <col min="2056" max="2056" width="5.6640625" style="449" customWidth="1"/>
    <col min="2057" max="2057" width="6.77734375" style="449" customWidth="1"/>
    <col min="2058" max="2058" width="10.88671875" style="449" bestFit="1" customWidth="1"/>
    <col min="2059" max="2062" width="12.77734375" style="449" customWidth="1"/>
    <col min="2063" max="2063" width="12.21875" style="449" customWidth="1"/>
    <col min="2064" max="2065" width="8.88671875" style="449"/>
    <col min="2066" max="2066" width="12.77734375" style="449" bestFit="1" customWidth="1"/>
    <col min="2067" max="2304" width="8.88671875" style="449"/>
    <col min="2305" max="2305" width="7.44140625" style="449" customWidth="1"/>
    <col min="2306" max="2306" width="8.88671875" style="449"/>
    <col min="2307" max="2307" width="11.21875" style="449" customWidth="1"/>
    <col min="2308" max="2311" width="12.77734375" style="449" customWidth="1"/>
    <col min="2312" max="2312" width="5.6640625" style="449" customWidth="1"/>
    <col min="2313" max="2313" width="6.77734375" style="449" customWidth="1"/>
    <col min="2314" max="2314" width="10.88671875" style="449" bestFit="1" customWidth="1"/>
    <col min="2315" max="2318" width="12.77734375" style="449" customWidth="1"/>
    <col min="2319" max="2319" width="12.21875" style="449" customWidth="1"/>
    <col min="2320" max="2321" width="8.88671875" style="449"/>
    <col min="2322" max="2322" width="12.77734375" style="449" bestFit="1" customWidth="1"/>
    <col min="2323" max="2560" width="8.88671875" style="449"/>
    <col min="2561" max="2561" width="7.44140625" style="449" customWidth="1"/>
    <col min="2562" max="2562" width="8.88671875" style="449"/>
    <col min="2563" max="2563" width="11.21875" style="449" customWidth="1"/>
    <col min="2564" max="2567" width="12.77734375" style="449" customWidth="1"/>
    <col min="2568" max="2568" width="5.6640625" style="449" customWidth="1"/>
    <col min="2569" max="2569" width="6.77734375" style="449" customWidth="1"/>
    <col min="2570" max="2570" width="10.88671875" style="449" bestFit="1" customWidth="1"/>
    <col min="2571" max="2574" width="12.77734375" style="449" customWidth="1"/>
    <col min="2575" max="2575" width="12.21875" style="449" customWidth="1"/>
    <col min="2576" max="2577" width="8.88671875" style="449"/>
    <col min="2578" max="2578" width="12.77734375" style="449" bestFit="1" customWidth="1"/>
    <col min="2579" max="2816" width="8.88671875" style="449"/>
    <col min="2817" max="2817" width="7.44140625" style="449" customWidth="1"/>
    <col min="2818" max="2818" width="8.88671875" style="449"/>
    <col min="2819" max="2819" width="11.21875" style="449" customWidth="1"/>
    <col min="2820" max="2823" width="12.77734375" style="449" customWidth="1"/>
    <col min="2824" max="2824" width="5.6640625" style="449" customWidth="1"/>
    <col min="2825" max="2825" width="6.77734375" style="449" customWidth="1"/>
    <col min="2826" max="2826" width="10.88671875" style="449" bestFit="1" customWidth="1"/>
    <col min="2827" max="2830" width="12.77734375" style="449" customWidth="1"/>
    <col min="2831" max="2831" width="12.21875" style="449" customWidth="1"/>
    <col min="2832" max="2833" width="8.88671875" style="449"/>
    <col min="2834" max="2834" width="12.77734375" style="449" bestFit="1" customWidth="1"/>
    <col min="2835" max="3072" width="8.88671875" style="449"/>
    <col min="3073" max="3073" width="7.44140625" style="449" customWidth="1"/>
    <col min="3074" max="3074" width="8.88671875" style="449"/>
    <col min="3075" max="3075" width="11.21875" style="449" customWidth="1"/>
    <col min="3076" max="3079" width="12.77734375" style="449" customWidth="1"/>
    <col min="3080" max="3080" width="5.6640625" style="449" customWidth="1"/>
    <col min="3081" max="3081" width="6.77734375" style="449" customWidth="1"/>
    <col min="3082" max="3082" width="10.88671875" style="449" bestFit="1" customWidth="1"/>
    <col min="3083" max="3086" width="12.77734375" style="449" customWidth="1"/>
    <col min="3087" max="3087" width="12.21875" style="449" customWidth="1"/>
    <col min="3088" max="3089" width="8.88671875" style="449"/>
    <col min="3090" max="3090" width="12.77734375" style="449" bestFit="1" customWidth="1"/>
    <col min="3091" max="3328" width="8.88671875" style="449"/>
    <col min="3329" max="3329" width="7.44140625" style="449" customWidth="1"/>
    <col min="3330" max="3330" width="8.88671875" style="449"/>
    <col min="3331" max="3331" width="11.21875" style="449" customWidth="1"/>
    <col min="3332" max="3335" width="12.77734375" style="449" customWidth="1"/>
    <col min="3336" max="3336" width="5.6640625" style="449" customWidth="1"/>
    <col min="3337" max="3337" width="6.77734375" style="449" customWidth="1"/>
    <col min="3338" max="3338" width="10.88671875" style="449" bestFit="1" customWidth="1"/>
    <col min="3339" max="3342" width="12.77734375" style="449" customWidth="1"/>
    <col min="3343" max="3343" width="12.21875" style="449" customWidth="1"/>
    <col min="3344" max="3345" width="8.88671875" style="449"/>
    <col min="3346" max="3346" width="12.77734375" style="449" bestFit="1" customWidth="1"/>
    <col min="3347" max="3584" width="8.88671875" style="449"/>
    <col min="3585" max="3585" width="7.44140625" style="449" customWidth="1"/>
    <col min="3586" max="3586" width="8.88671875" style="449"/>
    <col min="3587" max="3587" width="11.21875" style="449" customWidth="1"/>
    <col min="3588" max="3591" width="12.77734375" style="449" customWidth="1"/>
    <col min="3592" max="3592" width="5.6640625" style="449" customWidth="1"/>
    <col min="3593" max="3593" width="6.77734375" style="449" customWidth="1"/>
    <col min="3594" max="3594" width="10.88671875" style="449" bestFit="1" customWidth="1"/>
    <col min="3595" max="3598" width="12.77734375" style="449" customWidth="1"/>
    <col min="3599" max="3599" width="12.21875" style="449" customWidth="1"/>
    <col min="3600" max="3601" width="8.88671875" style="449"/>
    <col min="3602" max="3602" width="12.77734375" style="449" bestFit="1" customWidth="1"/>
    <col min="3603" max="3840" width="8.88671875" style="449"/>
    <col min="3841" max="3841" width="7.44140625" style="449" customWidth="1"/>
    <col min="3842" max="3842" width="8.88671875" style="449"/>
    <col min="3843" max="3843" width="11.21875" style="449" customWidth="1"/>
    <col min="3844" max="3847" width="12.77734375" style="449" customWidth="1"/>
    <col min="3848" max="3848" width="5.6640625" style="449" customWidth="1"/>
    <col min="3849" max="3849" width="6.77734375" style="449" customWidth="1"/>
    <col min="3850" max="3850" width="10.88671875" style="449" bestFit="1" customWidth="1"/>
    <col min="3851" max="3854" width="12.77734375" style="449" customWidth="1"/>
    <col min="3855" max="3855" width="12.21875" style="449" customWidth="1"/>
    <col min="3856" max="3857" width="8.88671875" style="449"/>
    <col min="3858" max="3858" width="12.77734375" style="449" bestFit="1" customWidth="1"/>
    <col min="3859" max="4096" width="8.88671875" style="449"/>
    <col min="4097" max="4097" width="7.44140625" style="449" customWidth="1"/>
    <col min="4098" max="4098" width="8.88671875" style="449"/>
    <col min="4099" max="4099" width="11.21875" style="449" customWidth="1"/>
    <col min="4100" max="4103" width="12.77734375" style="449" customWidth="1"/>
    <col min="4104" max="4104" width="5.6640625" style="449" customWidth="1"/>
    <col min="4105" max="4105" width="6.77734375" style="449" customWidth="1"/>
    <col min="4106" max="4106" width="10.88671875" style="449" bestFit="1" customWidth="1"/>
    <col min="4107" max="4110" width="12.77734375" style="449" customWidth="1"/>
    <col min="4111" max="4111" width="12.21875" style="449" customWidth="1"/>
    <col min="4112" max="4113" width="8.88671875" style="449"/>
    <col min="4114" max="4114" width="12.77734375" style="449" bestFit="1" customWidth="1"/>
    <col min="4115" max="4352" width="8.88671875" style="449"/>
    <col min="4353" max="4353" width="7.44140625" style="449" customWidth="1"/>
    <col min="4354" max="4354" width="8.88671875" style="449"/>
    <col min="4355" max="4355" width="11.21875" style="449" customWidth="1"/>
    <col min="4356" max="4359" width="12.77734375" style="449" customWidth="1"/>
    <col min="4360" max="4360" width="5.6640625" style="449" customWidth="1"/>
    <col min="4361" max="4361" width="6.77734375" style="449" customWidth="1"/>
    <col min="4362" max="4362" width="10.88671875" style="449" bestFit="1" customWidth="1"/>
    <col min="4363" max="4366" width="12.77734375" style="449" customWidth="1"/>
    <col min="4367" max="4367" width="12.21875" style="449" customWidth="1"/>
    <col min="4368" max="4369" width="8.88671875" style="449"/>
    <col min="4370" max="4370" width="12.77734375" style="449" bestFit="1" customWidth="1"/>
    <col min="4371" max="4608" width="8.88671875" style="449"/>
    <col min="4609" max="4609" width="7.44140625" style="449" customWidth="1"/>
    <col min="4610" max="4610" width="8.88671875" style="449"/>
    <col min="4611" max="4611" width="11.21875" style="449" customWidth="1"/>
    <col min="4612" max="4615" width="12.77734375" style="449" customWidth="1"/>
    <col min="4616" max="4616" width="5.6640625" style="449" customWidth="1"/>
    <col min="4617" max="4617" width="6.77734375" style="449" customWidth="1"/>
    <col min="4618" max="4618" width="10.88671875" style="449" bestFit="1" customWidth="1"/>
    <col min="4619" max="4622" width="12.77734375" style="449" customWidth="1"/>
    <col min="4623" max="4623" width="12.21875" style="449" customWidth="1"/>
    <col min="4624" max="4625" width="8.88671875" style="449"/>
    <col min="4626" max="4626" width="12.77734375" style="449" bestFit="1" customWidth="1"/>
    <col min="4627" max="4864" width="8.88671875" style="449"/>
    <col min="4865" max="4865" width="7.44140625" style="449" customWidth="1"/>
    <col min="4866" max="4866" width="8.88671875" style="449"/>
    <col min="4867" max="4867" width="11.21875" style="449" customWidth="1"/>
    <col min="4868" max="4871" width="12.77734375" style="449" customWidth="1"/>
    <col min="4872" max="4872" width="5.6640625" style="449" customWidth="1"/>
    <col min="4873" max="4873" width="6.77734375" style="449" customWidth="1"/>
    <col min="4874" max="4874" width="10.88671875" style="449" bestFit="1" customWidth="1"/>
    <col min="4875" max="4878" width="12.77734375" style="449" customWidth="1"/>
    <col min="4879" max="4879" width="12.21875" style="449" customWidth="1"/>
    <col min="4880" max="4881" width="8.88671875" style="449"/>
    <col min="4882" max="4882" width="12.77734375" style="449" bestFit="1" customWidth="1"/>
    <col min="4883" max="5120" width="8.88671875" style="449"/>
    <col min="5121" max="5121" width="7.44140625" style="449" customWidth="1"/>
    <col min="5122" max="5122" width="8.88671875" style="449"/>
    <col min="5123" max="5123" width="11.21875" style="449" customWidth="1"/>
    <col min="5124" max="5127" width="12.77734375" style="449" customWidth="1"/>
    <col min="5128" max="5128" width="5.6640625" style="449" customWidth="1"/>
    <col min="5129" max="5129" width="6.77734375" style="449" customWidth="1"/>
    <col min="5130" max="5130" width="10.88671875" style="449" bestFit="1" customWidth="1"/>
    <col min="5131" max="5134" width="12.77734375" style="449" customWidth="1"/>
    <col min="5135" max="5135" width="12.21875" style="449" customWidth="1"/>
    <col min="5136" max="5137" width="8.88671875" style="449"/>
    <col min="5138" max="5138" width="12.77734375" style="449" bestFit="1" customWidth="1"/>
    <col min="5139" max="5376" width="8.88671875" style="449"/>
    <col min="5377" max="5377" width="7.44140625" style="449" customWidth="1"/>
    <col min="5378" max="5378" width="8.88671875" style="449"/>
    <col min="5379" max="5379" width="11.21875" style="449" customWidth="1"/>
    <col min="5380" max="5383" width="12.77734375" style="449" customWidth="1"/>
    <col min="5384" max="5384" width="5.6640625" style="449" customWidth="1"/>
    <col min="5385" max="5385" width="6.77734375" style="449" customWidth="1"/>
    <col min="5386" max="5386" width="10.88671875" style="449" bestFit="1" customWidth="1"/>
    <col min="5387" max="5390" width="12.77734375" style="449" customWidth="1"/>
    <col min="5391" max="5391" width="12.21875" style="449" customWidth="1"/>
    <col min="5392" max="5393" width="8.88671875" style="449"/>
    <col min="5394" max="5394" width="12.77734375" style="449" bestFit="1" customWidth="1"/>
    <col min="5395" max="5632" width="8.88671875" style="449"/>
    <col min="5633" max="5633" width="7.44140625" style="449" customWidth="1"/>
    <col min="5634" max="5634" width="8.88671875" style="449"/>
    <col min="5635" max="5635" width="11.21875" style="449" customWidth="1"/>
    <col min="5636" max="5639" width="12.77734375" style="449" customWidth="1"/>
    <col min="5640" max="5640" width="5.6640625" style="449" customWidth="1"/>
    <col min="5641" max="5641" width="6.77734375" style="449" customWidth="1"/>
    <col min="5642" max="5642" width="10.88671875" style="449" bestFit="1" customWidth="1"/>
    <col min="5643" max="5646" width="12.77734375" style="449" customWidth="1"/>
    <col min="5647" max="5647" width="12.21875" style="449" customWidth="1"/>
    <col min="5648" max="5649" width="8.88671875" style="449"/>
    <col min="5650" max="5650" width="12.77734375" style="449" bestFit="1" customWidth="1"/>
    <col min="5651" max="5888" width="8.88671875" style="449"/>
    <col min="5889" max="5889" width="7.44140625" style="449" customWidth="1"/>
    <col min="5890" max="5890" width="8.88671875" style="449"/>
    <col min="5891" max="5891" width="11.21875" style="449" customWidth="1"/>
    <col min="5892" max="5895" width="12.77734375" style="449" customWidth="1"/>
    <col min="5896" max="5896" width="5.6640625" style="449" customWidth="1"/>
    <col min="5897" max="5897" width="6.77734375" style="449" customWidth="1"/>
    <col min="5898" max="5898" width="10.88671875" style="449" bestFit="1" customWidth="1"/>
    <col min="5899" max="5902" width="12.77734375" style="449" customWidth="1"/>
    <col min="5903" max="5903" width="12.21875" style="449" customWidth="1"/>
    <col min="5904" max="5905" width="8.88671875" style="449"/>
    <col min="5906" max="5906" width="12.77734375" style="449" bestFit="1" customWidth="1"/>
    <col min="5907" max="6144" width="8.88671875" style="449"/>
    <col min="6145" max="6145" width="7.44140625" style="449" customWidth="1"/>
    <col min="6146" max="6146" width="8.88671875" style="449"/>
    <col min="6147" max="6147" width="11.21875" style="449" customWidth="1"/>
    <col min="6148" max="6151" width="12.77734375" style="449" customWidth="1"/>
    <col min="6152" max="6152" width="5.6640625" style="449" customWidth="1"/>
    <col min="6153" max="6153" width="6.77734375" style="449" customWidth="1"/>
    <col min="6154" max="6154" width="10.88671875" style="449" bestFit="1" customWidth="1"/>
    <col min="6155" max="6158" width="12.77734375" style="449" customWidth="1"/>
    <col min="6159" max="6159" width="12.21875" style="449" customWidth="1"/>
    <col min="6160" max="6161" width="8.88671875" style="449"/>
    <col min="6162" max="6162" width="12.77734375" style="449" bestFit="1" customWidth="1"/>
    <col min="6163" max="6400" width="8.88671875" style="449"/>
    <col min="6401" max="6401" width="7.44140625" style="449" customWidth="1"/>
    <col min="6402" max="6402" width="8.88671875" style="449"/>
    <col min="6403" max="6403" width="11.21875" style="449" customWidth="1"/>
    <col min="6404" max="6407" width="12.77734375" style="449" customWidth="1"/>
    <col min="6408" max="6408" width="5.6640625" style="449" customWidth="1"/>
    <col min="6409" max="6409" width="6.77734375" style="449" customWidth="1"/>
    <col min="6410" max="6410" width="10.88671875" style="449" bestFit="1" customWidth="1"/>
    <col min="6411" max="6414" width="12.77734375" style="449" customWidth="1"/>
    <col min="6415" max="6415" width="12.21875" style="449" customWidth="1"/>
    <col min="6416" max="6417" width="8.88671875" style="449"/>
    <col min="6418" max="6418" width="12.77734375" style="449" bestFit="1" customWidth="1"/>
    <col min="6419" max="6656" width="8.88671875" style="449"/>
    <col min="6657" max="6657" width="7.44140625" style="449" customWidth="1"/>
    <col min="6658" max="6658" width="8.88671875" style="449"/>
    <col min="6659" max="6659" width="11.21875" style="449" customWidth="1"/>
    <col min="6660" max="6663" width="12.77734375" style="449" customWidth="1"/>
    <col min="6664" max="6664" width="5.6640625" style="449" customWidth="1"/>
    <col min="6665" max="6665" width="6.77734375" style="449" customWidth="1"/>
    <col min="6666" max="6666" width="10.88671875" style="449" bestFit="1" customWidth="1"/>
    <col min="6667" max="6670" width="12.77734375" style="449" customWidth="1"/>
    <col min="6671" max="6671" width="12.21875" style="449" customWidth="1"/>
    <col min="6672" max="6673" width="8.88671875" style="449"/>
    <col min="6674" max="6674" width="12.77734375" style="449" bestFit="1" customWidth="1"/>
    <col min="6675" max="6912" width="8.88671875" style="449"/>
    <col min="6913" max="6913" width="7.44140625" style="449" customWidth="1"/>
    <col min="6914" max="6914" width="8.88671875" style="449"/>
    <col min="6915" max="6915" width="11.21875" style="449" customWidth="1"/>
    <col min="6916" max="6919" width="12.77734375" style="449" customWidth="1"/>
    <col min="6920" max="6920" width="5.6640625" style="449" customWidth="1"/>
    <col min="6921" max="6921" width="6.77734375" style="449" customWidth="1"/>
    <col min="6922" max="6922" width="10.88671875" style="449" bestFit="1" customWidth="1"/>
    <col min="6923" max="6926" width="12.77734375" style="449" customWidth="1"/>
    <col min="6927" max="6927" width="12.21875" style="449" customWidth="1"/>
    <col min="6928" max="6929" width="8.88671875" style="449"/>
    <col min="6930" max="6930" width="12.77734375" style="449" bestFit="1" customWidth="1"/>
    <col min="6931" max="7168" width="8.88671875" style="449"/>
    <col min="7169" max="7169" width="7.44140625" style="449" customWidth="1"/>
    <col min="7170" max="7170" width="8.88671875" style="449"/>
    <col min="7171" max="7171" width="11.21875" style="449" customWidth="1"/>
    <col min="7172" max="7175" width="12.77734375" style="449" customWidth="1"/>
    <col min="7176" max="7176" width="5.6640625" style="449" customWidth="1"/>
    <col min="7177" max="7177" width="6.77734375" style="449" customWidth="1"/>
    <col min="7178" max="7178" width="10.88671875" style="449" bestFit="1" customWidth="1"/>
    <col min="7179" max="7182" width="12.77734375" style="449" customWidth="1"/>
    <col min="7183" max="7183" width="12.21875" style="449" customWidth="1"/>
    <col min="7184" max="7185" width="8.88671875" style="449"/>
    <col min="7186" max="7186" width="12.77734375" style="449" bestFit="1" customWidth="1"/>
    <col min="7187" max="7424" width="8.88671875" style="449"/>
    <col min="7425" max="7425" width="7.44140625" style="449" customWidth="1"/>
    <col min="7426" max="7426" width="8.88671875" style="449"/>
    <col min="7427" max="7427" width="11.21875" style="449" customWidth="1"/>
    <col min="7428" max="7431" width="12.77734375" style="449" customWidth="1"/>
    <col min="7432" max="7432" width="5.6640625" style="449" customWidth="1"/>
    <col min="7433" max="7433" width="6.77734375" style="449" customWidth="1"/>
    <col min="7434" max="7434" width="10.88671875" style="449" bestFit="1" customWidth="1"/>
    <col min="7435" max="7438" width="12.77734375" style="449" customWidth="1"/>
    <col min="7439" max="7439" width="12.21875" style="449" customWidth="1"/>
    <col min="7440" max="7441" width="8.88671875" style="449"/>
    <col min="7442" max="7442" width="12.77734375" style="449" bestFit="1" customWidth="1"/>
    <col min="7443" max="7680" width="8.88671875" style="449"/>
    <col min="7681" max="7681" width="7.44140625" style="449" customWidth="1"/>
    <col min="7682" max="7682" width="8.88671875" style="449"/>
    <col min="7683" max="7683" width="11.21875" style="449" customWidth="1"/>
    <col min="7684" max="7687" width="12.77734375" style="449" customWidth="1"/>
    <col min="7688" max="7688" width="5.6640625" style="449" customWidth="1"/>
    <col min="7689" max="7689" width="6.77734375" style="449" customWidth="1"/>
    <col min="7690" max="7690" width="10.88671875" style="449" bestFit="1" customWidth="1"/>
    <col min="7691" max="7694" width="12.77734375" style="449" customWidth="1"/>
    <col min="7695" max="7695" width="12.21875" style="449" customWidth="1"/>
    <col min="7696" max="7697" width="8.88671875" style="449"/>
    <col min="7698" max="7698" width="12.77734375" style="449" bestFit="1" customWidth="1"/>
    <col min="7699" max="7936" width="8.88671875" style="449"/>
    <col min="7937" max="7937" width="7.44140625" style="449" customWidth="1"/>
    <col min="7938" max="7938" width="8.88671875" style="449"/>
    <col min="7939" max="7939" width="11.21875" style="449" customWidth="1"/>
    <col min="7940" max="7943" width="12.77734375" style="449" customWidth="1"/>
    <col min="7944" max="7944" width="5.6640625" style="449" customWidth="1"/>
    <col min="7945" max="7945" width="6.77734375" style="449" customWidth="1"/>
    <col min="7946" max="7946" width="10.88671875" style="449" bestFit="1" customWidth="1"/>
    <col min="7947" max="7950" width="12.77734375" style="449" customWidth="1"/>
    <col min="7951" max="7951" width="12.21875" style="449" customWidth="1"/>
    <col min="7952" max="7953" width="8.88671875" style="449"/>
    <col min="7954" max="7954" width="12.77734375" style="449" bestFit="1" customWidth="1"/>
    <col min="7955" max="8192" width="8.88671875" style="449"/>
    <col min="8193" max="8193" width="7.44140625" style="449" customWidth="1"/>
    <col min="8194" max="8194" width="8.88671875" style="449"/>
    <col min="8195" max="8195" width="11.21875" style="449" customWidth="1"/>
    <col min="8196" max="8199" width="12.77734375" style="449" customWidth="1"/>
    <col min="8200" max="8200" width="5.6640625" style="449" customWidth="1"/>
    <col min="8201" max="8201" width="6.77734375" style="449" customWidth="1"/>
    <col min="8202" max="8202" width="10.88671875" style="449" bestFit="1" customWidth="1"/>
    <col min="8203" max="8206" width="12.77734375" style="449" customWidth="1"/>
    <col min="8207" max="8207" width="12.21875" style="449" customWidth="1"/>
    <col min="8208" max="8209" width="8.88671875" style="449"/>
    <col min="8210" max="8210" width="12.77734375" style="449" bestFit="1" customWidth="1"/>
    <col min="8211" max="8448" width="8.88671875" style="449"/>
    <col min="8449" max="8449" width="7.44140625" style="449" customWidth="1"/>
    <col min="8450" max="8450" width="8.88671875" style="449"/>
    <col min="8451" max="8451" width="11.21875" style="449" customWidth="1"/>
    <col min="8452" max="8455" width="12.77734375" style="449" customWidth="1"/>
    <col min="8456" max="8456" width="5.6640625" style="449" customWidth="1"/>
    <col min="8457" max="8457" width="6.77734375" style="449" customWidth="1"/>
    <col min="8458" max="8458" width="10.88671875" style="449" bestFit="1" customWidth="1"/>
    <col min="8459" max="8462" width="12.77734375" style="449" customWidth="1"/>
    <col min="8463" max="8463" width="12.21875" style="449" customWidth="1"/>
    <col min="8464" max="8465" width="8.88671875" style="449"/>
    <col min="8466" max="8466" width="12.77734375" style="449" bestFit="1" customWidth="1"/>
    <col min="8467" max="8704" width="8.88671875" style="449"/>
    <col min="8705" max="8705" width="7.44140625" style="449" customWidth="1"/>
    <col min="8706" max="8706" width="8.88671875" style="449"/>
    <col min="8707" max="8707" width="11.21875" style="449" customWidth="1"/>
    <col min="8708" max="8711" width="12.77734375" style="449" customWidth="1"/>
    <col min="8712" max="8712" width="5.6640625" style="449" customWidth="1"/>
    <col min="8713" max="8713" width="6.77734375" style="449" customWidth="1"/>
    <col min="8714" max="8714" width="10.88671875" style="449" bestFit="1" customWidth="1"/>
    <col min="8715" max="8718" width="12.77734375" style="449" customWidth="1"/>
    <col min="8719" max="8719" width="12.21875" style="449" customWidth="1"/>
    <col min="8720" max="8721" width="8.88671875" style="449"/>
    <col min="8722" max="8722" width="12.77734375" style="449" bestFit="1" customWidth="1"/>
    <col min="8723" max="8960" width="8.88671875" style="449"/>
    <col min="8961" max="8961" width="7.44140625" style="449" customWidth="1"/>
    <col min="8962" max="8962" width="8.88671875" style="449"/>
    <col min="8963" max="8963" width="11.21875" style="449" customWidth="1"/>
    <col min="8964" max="8967" width="12.77734375" style="449" customWidth="1"/>
    <col min="8968" max="8968" width="5.6640625" style="449" customWidth="1"/>
    <col min="8969" max="8969" width="6.77734375" style="449" customWidth="1"/>
    <col min="8970" max="8970" width="10.88671875" style="449" bestFit="1" customWidth="1"/>
    <col min="8971" max="8974" width="12.77734375" style="449" customWidth="1"/>
    <col min="8975" max="8975" width="12.21875" style="449" customWidth="1"/>
    <col min="8976" max="8977" width="8.88671875" style="449"/>
    <col min="8978" max="8978" width="12.77734375" style="449" bestFit="1" customWidth="1"/>
    <col min="8979" max="9216" width="8.88671875" style="449"/>
    <col min="9217" max="9217" width="7.44140625" style="449" customWidth="1"/>
    <col min="9218" max="9218" width="8.88671875" style="449"/>
    <col min="9219" max="9219" width="11.21875" style="449" customWidth="1"/>
    <col min="9220" max="9223" width="12.77734375" style="449" customWidth="1"/>
    <col min="9224" max="9224" width="5.6640625" style="449" customWidth="1"/>
    <col min="9225" max="9225" width="6.77734375" style="449" customWidth="1"/>
    <col min="9226" max="9226" width="10.88671875" style="449" bestFit="1" customWidth="1"/>
    <col min="9227" max="9230" width="12.77734375" style="449" customWidth="1"/>
    <col min="9231" max="9231" width="12.21875" style="449" customWidth="1"/>
    <col min="9232" max="9233" width="8.88671875" style="449"/>
    <col min="9234" max="9234" width="12.77734375" style="449" bestFit="1" customWidth="1"/>
    <col min="9235" max="9472" width="8.88671875" style="449"/>
    <col min="9473" max="9473" width="7.44140625" style="449" customWidth="1"/>
    <col min="9474" max="9474" width="8.88671875" style="449"/>
    <col min="9475" max="9475" width="11.21875" style="449" customWidth="1"/>
    <col min="9476" max="9479" width="12.77734375" style="449" customWidth="1"/>
    <col min="9480" max="9480" width="5.6640625" style="449" customWidth="1"/>
    <col min="9481" max="9481" width="6.77734375" style="449" customWidth="1"/>
    <col min="9482" max="9482" width="10.88671875" style="449" bestFit="1" customWidth="1"/>
    <col min="9483" max="9486" width="12.77734375" style="449" customWidth="1"/>
    <col min="9487" max="9487" width="12.21875" style="449" customWidth="1"/>
    <col min="9488" max="9489" width="8.88671875" style="449"/>
    <col min="9490" max="9490" width="12.77734375" style="449" bestFit="1" customWidth="1"/>
    <col min="9491" max="9728" width="8.88671875" style="449"/>
    <col min="9729" max="9729" width="7.44140625" style="449" customWidth="1"/>
    <col min="9730" max="9730" width="8.88671875" style="449"/>
    <col min="9731" max="9731" width="11.21875" style="449" customWidth="1"/>
    <col min="9732" max="9735" width="12.77734375" style="449" customWidth="1"/>
    <col min="9736" max="9736" width="5.6640625" style="449" customWidth="1"/>
    <col min="9737" max="9737" width="6.77734375" style="449" customWidth="1"/>
    <col min="9738" max="9738" width="10.88671875" style="449" bestFit="1" customWidth="1"/>
    <col min="9739" max="9742" width="12.77734375" style="449" customWidth="1"/>
    <col min="9743" max="9743" width="12.21875" style="449" customWidth="1"/>
    <col min="9744" max="9745" width="8.88671875" style="449"/>
    <col min="9746" max="9746" width="12.77734375" style="449" bestFit="1" customWidth="1"/>
    <col min="9747" max="9984" width="8.88671875" style="449"/>
    <col min="9985" max="9985" width="7.44140625" style="449" customWidth="1"/>
    <col min="9986" max="9986" width="8.88671875" style="449"/>
    <col min="9987" max="9987" width="11.21875" style="449" customWidth="1"/>
    <col min="9988" max="9991" width="12.77734375" style="449" customWidth="1"/>
    <col min="9992" max="9992" width="5.6640625" style="449" customWidth="1"/>
    <col min="9993" max="9993" width="6.77734375" style="449" customWidth="1"/>
    <col min="9994" max="9994" width="10.88671875" style="449" bestFit="1" customWidth="1"/>
    <col min="9995" max="9998" width="12.77734375" style="449" customWidth="1"/>
    <col min="9999" max="9999" width="12.21875" style="449" customWidth="1"/>
    <col min="10000" max="10001" width="8.88671875" style="449"/>
    <col min="10002" max="10002" width="12.77734375" style="449" bestFit="1" customWidth="1"/>
    <col min="10003" max="10240" width="8.88671875" style="449"/>
    <col min="10241" max="10241" width="7.44140625" style="449" customWidth="1"/>
    <col min="10242" max="10242" width="8.88671875" style="449"/>
    <col min="10243" max="10243" width="11.21875" style="449" customWidth="1"/>
    <col min="10244" max="10247" width="12.77734375" style="449" customWidth="1"/>
    <col min="10248" max="10248" width="5.6640625" style="449" customWidth="1"/>
    <col min="10249" max="10249" width="6.77734375" style="449" customWidth="1"/>
    <col min="10250" max="10250" width="10.88671875" style="449" bestFit="1" customWidth="1"/>
    <col min="10251" max="10254" width="12.77734375" style="449" customWidth="1"/>
    <col min="10255" max="10255" width="12.21875" style="449" customWidth="1"/>
    <col min="10256" max="10257" width="8.88671875" style="449"/>
    <col min="10258" max="10258" width="12.77734375" style="449" bestFit="1" customWidth="1"/>
    <col min="10259" max="10496" width="8.88671875" style="449"/>
    <col min="10497" max="10497" width="7.44140625" style="449" customWidth="1"/>
    <col min="10498" max="10498" width="8.88671875" style="449"/>
    <col min="10499" max="10499" width="11.21875" style="449" customWidth="1"/>
    <col min="10500" max="10503" width="12.77734375" style="449" customWidth="1"/>
    <col min="10504" max="10504" width="5.6640625" style="449" customWidth="1"/>
    <col min="10505" max="10505" width="6.77734375" style="449" customWidth="1"/>
    <col min="10506" max="10506" width="10.88671875" style="449" bestFit="1" customWidth="1"/>
    <col min="10507" max="10510" width="12.77734375" style="449" customWidth="1"/>
    <col min="10511" max="10511" width="12.21875" style="449" customWidth="1"/>
    <col min="10512" max="10513" width="8.88671875" style="449"/>
    <col min="10514" max="10514" width="12.77734375" style="449" bestFit="1" customWidth="1"/>
    <col min="10515" max="10752" width="8.88671875" style="449"/>
    <col min="10753" max="10753" width="7.44140625" style="449" customWidth="1"/>
    <col min="10754" max="10754" width="8.88671875" style="449"/>
    <col min="10755" max="10755" width="11.21875" style="449" customWidth="1"/>
    <col min="10756" max="10759" width="12.77734375" style="449" customWidth="1"/>
    <col min="10760" max="10760" width="5.6640625" style="449" customWidth="1"/>
    <col min="10761" max="10761" width="6.77734375" style="449" customWidth="1"/>
    <col min="10762" max="10762" width="10.88671875" style="449" bestFit="1" customWidth="1"/>
    <col min="10763" max="10766" width="12.77734375" style="449" customWidth="1"/>
    <col min="10767" max="10767" width="12.21875" style="449" customWidth="1"/>
    <col min="10768" max="10769" width="8.88671875" style="449"/>
    <col min="10770" max="10770" width="12.77734375" style="449" bestFit="1" customWidth="1"/>
    <col min="10771" max="11008" width="8.88671875" style="449"/>
    <col min="11009" max="11009" width="7.44140625" style="449" customWidth="1"/>
    <col min="11010" max="11010" width="8.88671875" style="449"/>
    <col min="11011" max="11011" width="11.21875" style="449" customWidth="1"/>
    <col min="11012" max="11015" width="12.77734375" style="449" customWidth="1"/>
    <col min="11016" max="11016" width="5.6640625" style="449" customWidth="1"/>
    <col min="11017" max="11017" width="6.77734375" style="449" customWidth="1"/>
    <col min="11018" max="11018" width="10.88671875" style="449" bestFit="1" customWidth="1"/>
    <col min="11019" max="11022" width="12.77734375" style="449" customWidth="1"/>
    <col min="11023" max="11023" width="12.21875" style="449" customWidth="1"/>
    <col min="11024" max="11025" width="8.88671875" style="449"/>
    <col min="11026" max="11026" width="12.77734375" style="449" bestFit="1" customWidth="1"/>
    <col min="11027" max="11264" width="8.88671875" style="449"/>
    <col min="11265" max="11265" width="7.44140625" style="449" customWidth="1"/>
    <col min="11266" max="11266" width="8.88671875" style="449"/>
    <col min="11267" max="11267" width="11.21875" style="449" customWidth="1"/>
    <col min="11268" max="11271" width="12.77734375" style="449" customWidth="1"/>
    <col min="11272" max="11272" width="5.6640625" style="449" customWidth="1"/>
    <col min="11273" max="11273" width="6.77734375" style="449" customWidth="1"/>
    <col min="11274" max="11274" width="10.88671875" style="449" bestFit="1" customWidth="1"/>
    <col min="11275" max="11278" width="12.77734375" style="449" customWidth="1"/>
    <col min="11279" max="11279" width="12.21875" style="449" customWidth="1"/>
    <col min="11280" max="11281" width="8.88671875" style="449"/>
    <col min="11282" max="11282" width="12.77734375" style="449" bestFit="1" customWidth="1"/>
    <col min="11283" max="11520" width="8.88671875" style="449"/>
    <col min="11521" max="11521" width="7.44140625" style="449" customWidth="1"/>
    <col min="11522" max="11522" width="8.88671875" style="449"/>
    <col min="11523" max="11523" width="11.21875" style="449" customWidth="1"/>
    <col min="11524" max="11527" width="12.77734375" style="449" customWidth="1"/>
    <col min="11528" max="11528" width="5.6640625" style="449" customWidth="1"/>
    <col min="11529" max="11529" width="6.77734375" style="449" customWidth="1"/>
    <col min="11530" max="11530" width="10.88671875" style="449" bestFit="1" customWidth="1"/>
    <col min="11531" max="11534" width="12.77734375" style="449" customWidth="1"/>
    <col min="11535" max="11535" width="12.21875" style="449" customWidth="1"/>
    <col min="11536" max="11537" width="8.88671875" style="449"/>
    <col min="11538" max="11538" width="12.77734375" style="449" bestFit="1" customWidth="1"/>
    <col min="11539" max="11776" width="8.88671875" style="449"/>
    <col min="11777" max="11777" width="7.44140625" style="449" customWidth="1"/>
    <col min="11778" max="11778" width="8.88671875" style="449"/>
    <col min="11779" max="11779" width="11.21875" style="449" customWidth="1"/>
    <col min="11780" max="11783" width="12.77734375" style="449" customWidth="1"/>
    <col min="11784" max="11784" width="5.6640625" style="449" customWidth="1"/>
    <col min="11785" max="11785" width="6.77734375" style="449" customWidth="1"/>
    <col min="11786" max="11786" width="10.88671875" style="449" bestFit="1" customWidth="1"/>
    <col min="11787" max="11790" width="12.77734375" style="449" customWidth="1"/>
    <col min="11791" max="11791" width="12.21875" style="449" customWidth="1"/>
    <col min="11792" max="11793" width="8.88671875" style="449"/>
    <col min="11794" max="11794" width="12.77734375" style="449" bestFit="1" customWidth="1"/>
    <col min="11795" max="12032" width="8.88671875" style="449"/>
    <col min="12033" max="12033" width="7.44140625" style="449" customWidth="1"/>
    <col min="12034" max="12034" width="8.88671875" style="449"/>
    <col min="12035" max="12035" width="11.21875" style="449" customWidth="1"/>
    <col min="12036" max="12039" width="12.77734375" style="449" customWidth="1"/>
    <col min="12040" max="12040" width="5.6640625" style="449" customWidth="1"/>
    <col min="12041" max="12041" width="6.77734375" style="449" customWidth="1"/>
    <col min="12042" max="12042" width="10.88671875" style="449" bestFit="1" customWidth="1"/>
    <col min="12043" max="12046" width="12.77734375" style="449" customWidth="1"/>
    <col min="12047" max="12047" width="12.21875" style="449" customWidth="1"/>
    <col min="12048" max="12049" width="8.88671875" style="449"/>
    <col min="12050" max="12050" width="12.77734375" style="449" bestFit="1" customWidth="1"/>
    <col min="12051" max="12288" width="8.88671875" style="449"/>
    <col min="12289" max="12289" width="7.44140625" style="449" customWidth="1"/>
    <col min="12290" max="12290" width="8.88671875" style="449"/>
    <col min="12291" max="12291" width="11.21875" style="449" customWidth="1"/>
    <col min="12292" max="12295" width="12.77734375" style="449" customWidth="1"/>
    <col min="12296" max="12296" width="5.6640625" style="449" customWidth="1"/>
    <col min="12297" max="12297" width="6.77734375" style="449" customWidth="1"/>
    <col min="12298" max="12298" width="10.88671875" style="449" bestFit="1" customWidth="1"/>
    <col min="12299" max="12302" width="12.77734375" style="449" customWidth="1"/>
    <col min="12303" max="12303" width="12.21875" style="449" customWidth="1"/>
    <col min="12304" max="12305" width="8.88671875" style="449"/>
    <col min="12306" max="12306" width="12.77734375" style="449" bestFit="1" customWidth="1"/>
    <col min="12307" max="12544" width="8.88671875" style="449"/>
    <col min="12545" max="12545" width="7.44140625" style="449" customWidth="1"/>
    <col min="12546" max="12546" width="8.88671875" style="449"/>
    <col min="12547" max="12547" width="11.21875" style="449" customWidth="1"/>
    <col min="12548" max="12551" width="12.77734375" style="449" customWidth="1"/>
    <col min="12552" max="12552" width="5.6640625" style="449" customWidth="1"/>
    <col min="12553" max="12553" width="6.77734375" style="449" customWidth="1"/>
    <col min="12554" max="12554" width="10.88671875" style="449" bestFit="1" customWidth="1"/>
    <col min="12555" max="12558" width="12.77734375" style="449" customWidth="1"/>
    <col min="12559" max="12559" width="12.21875" style="449" customWidth="1"/>
    <col min="12560" max="12561" width="8.88671875" style="449"/>
    <col min="12562" max="12562" width="12.77734375" style="449" bestFit="1" customWidth="1"/>
    <col min="12563" max="12800" width="8.88671875" style="449"/>
    <col min="12801" max="12801" width="7.44140625" style="449" customWidth="1"/>
    <col min="12802" max="12802" width="8.88671875" style="449"/>
    <col min="12803" max="12803" width="11.21875" style="449" customWidth="1"/>
    <col min="12804" max="12807" width="12.77734375" style="449" customWidth="1"/>
    <col min="12808" max="12808" width="5.6640625" style="449" customWidth="1"/>
    <col min="12809" max="12809" width="6.77734375" style="449" customWidth="1"/>
    <col min="12810" max="12810" width="10.88671875" style="449" bestFit="1" customWidth="1"/>
    <col min="12811" max="12814" width="12.77734375" style="449" customWidth="1"/>
    <col min="12815" max="12815" width="12.21875" style="449" customWidth="1"/>
    <col min="12816" max="12817" width="8.88671875" style="449"/>
    <col min="12818" max="12818" width="12.77734375" style="449" bestFit="1" customWidth="1"/>
    <col min="12819" max="13056" width="8.88671875" style="449"/>
    <col min="13057" max="13057" width="7.44140625" style="449" customWidth="1"/>
    <col min="13058" max="13058" width="8.88671875" style="449"/>
    <col min="13059" max="13059" width="11.21875" style="449" customWidth="1"/>
    <col min="13060" max="13063" width="12.77734375" style="449" customWidth="1"/>
    <col min="13064" max="13064" width="5.6640625" style="449" customWidth="1"/>
    <col min="13065" max="13065" width="6.77734375" style="449" customWidth="1"/>
    <col min="13066" max="13066" width="10.88671875" style="449" bestFit="1" customWidth="1"/>
    <col min="13067" max="13070" width="12.77734375" style="449" customWidth="1"/>
    <col min="13071" max="13071" width="12.21875" style="449" customWidth="1"/>
    <col min="13072" max="13073" width="8.88671875" style="449"/>
    <col min="13074" max="13074" width="12.77734375" style="449" bestFit="1" customWidth="1"/>
    <col min="13075" max="13312" width="8.88671875" style="449"/>
    <col min="13313" max="13313" width="7.44140625" style="449" customWidth="1"/>
    <col min="13314" max="13314" width="8.88671875" style="449"/>
    <col min="13315" max="13315" width="11.21875" style="449" customWidth="1"/>
    <col min="13316" max="13319" width="12.77734375" style="449" customWidth="1"/>
    <col min="13320" max="13320" width="5.6640625" style="449" customWidth="1"/>
    <col min="13321" max="13321" width="6.77734375" style="449" customWidth="1"/>
    <col min="13322" max="13322" width="10.88671875" style="449" bestFit="1" customWidth="1"/>
    <col min="13323" max="13326" width="12.77734375" style="449" customWidth="1"/>
    <col min="13327" max="13327" width="12.21875" style="449" customWidth="1"/>
    <col min="13328" max="13329" width="8.88671875" style="449"/>
    <col min="13330" max="13330" width="12.77734375" style="449" bestFit="1" customWidth="1"/>
    <col min="13331" max="13568" width="8.88671875" style="449"/>
    <col min="13569" max="13569" width="7.44140625" style="449" customWidth="1"/>
    <col min="13570" max="13570" width="8.88671875" style="449"/>
    <col min="13571" max="13571" width="11.21875" style="449" customWidth="1"/>
    <col min="13572" max="13575" width="12.77734375" style="449" customWidth="1"/>
    <col min="13576" max="13576" width="5.6640625" style="449" customWidth="1"/>
    <col min="13577" max="13577" width="6.77734375" style="449" customWidth="1"/>
    <col min="13578" max="13578" width="10.88671875" style="449" bestFit="1" customWidth="1"/>
    <col min="13579" max="13582" width="12.77734375" style="449" customWidth="1"/>
    <col min="13583" max="13583" width="12.21875" style="449" customWidth="1"/>
    <col min="13584" max="13585" width="8.88671875" style="449"/>
    <col min="13586" max="13586" width="12.77734375" style="449" bestFit="1" customWidth="1"/>
    <col min="13587" max="13824" width="8.88671875" style="449"/>
    <col min="13825" max="13825" width="7.44140625" style="449" customWidth="1"/>
    <col min="13826" max="13826" width="8.88671875" style="449"/>
    <col min="13827" max="13827" width="11.21875" style="449" customWidth="1"/>
    <col min="13828" max="13831" width="12.77734375" style="449" customWidth="1"/>
    <col min="13832" max="13832" width="5.6640625" style="449" customWidth="1"/>
    <col min="13833" max="13833" width="6.77734375" style="449" customWidth="1"/>
    <col min="13834" max="13834" width="10.88671875" style="449" bestFit="1" customWidth="1"/>
    <col min="13835" max="13838" width="12.77734375" style="449" customWidth="1"/>
    <col min="13839" max="13839" width="12.21875" style="449" customWidth="1"/>
    <col min="13840" max="13841" width="8.88671875" style="449"/>
    <col min="13842" max="13842" width="12.77734375" style="449" bestFit="1" customWidth="1"/>
    <col min="13843" max="14080" width="8.88671875" style="449"/>
    <col min="14081" max="14081" width="7.44140625" style="449" customWidth="1"/>
    <col min="14082" max="14082" width="8.88671875" style="449"/>
    <col min="14083" max="14083" width="11.21875" style="449" customWidth="1"/>
    <col min="14084" max="14087" width="12.77734375" style="449" customWidth="1"/>
    <col min="14088" max="14088" width="5.6640625" style="449" customWidth="1"/>
    <col min="14089" max="14089" width="6.77734375" style="449" customWidth="1"/>
    <col min="14090" max="14090" width="10.88671875" style="449" bestFit="1" customWidth="1"/>
    <col min="14091" max="14094" width="12.77734375" style="449" customWidth="1"/>
    <col min="14095" max="14095" width="12.21875" style="449" customWidth="1"/>
    <col min="14096" max="14097" width="8.88671875" style="449"/>
    <col min="14098" max="14098" width="12.77734375" style="449" bestFit="1" customWidth="1"/>
    <col min="14099" max="14336" width="8.88671875" style="449"/>
    <col min="14337" max="14337" width="7.44140625" style="449" customWidth="1"/>
    <col min="14338" max="14338" width="8.88671875" style="449"/>
    <col min="14339" max="14339" width="11.21875" style="449" customWidth="1"/>
    <col min="14340" max="14343" width="12.77734375" style="449" customWidth="1"/>
    <col min="14344" max="14344" width="5.6640625" style="449" customWidth="1"/>
    <col min="14345" max="14345" width="6.77734375" style="449" customWidth="1"/>
    <col min="14346" max="14346" width="10.88671875" style="449" bestFit="1" customWidth="1"/>
    <col min="14347" max="14350" width="12.77734375" style="449" customWidth="1"/>
    <col min="14351" max="14351" width="12.21875" style="449" customWidth="1"/>
    <col min="14352" max="14353" width="8.88671875" style="449"/>
    <col min="14354" max="14354" width="12.77734375" style="449" bestFit="1" customWidth="1"/>
    <col min="14355" max="14592" width="8.88671875" style="449"/>
    <col min="14593" max="14593" width="7.44140625" style="449" customWidth="1"/>
    <col min="14594" max="14594" width="8.88671875" style="449"/>
    <col min="14595" max="14595" width="11.21875" style="449" customWidth="1"/>
    <col min="14596" max="14599" width="12.77734375" style="449" customWidth="1"/>
    <col min="14600" max="14600" width="5.6640625" style="449" customWidth="1"/>
    <col min="14601" max="14601" width="6.77734375" style="449" customWidth="1"/>
    <col min="14602" max="14602" width="10.88671875" style="449" bestFit="1" customWidth="1"/>
    <col min="14603" max="14606" width="12.77734375" style="449" customWidth="1"/>
    <col min="14607" max="14607" width="12.21875" style="449" customWidth="1"/>
    <col min="14608" max="14609" width="8.88671875" style="449"/>
    <col min="14610" max="14610" width="12.77734375" style="449" bestFit="1" customWidth="1"/>
    <col min="14611" max="14848" width="8.88671875" style="449"/>
    <col min="14849" max="14849" width="7.44140625" style="449" customWidth="1"/>
    <col min="14850" max="14850" width="8.88671875" style="449"/>
    <col min="14851" max="14851" width="11.21875" style="449" customWidth="1"/>
    <col min="14852" max="14855" width="12.77734375" style="449" customWidth="1"/>
    <col min="14856" max="14856" width="5.6640625" style="449" customWidth="1"/>
    <col min="14857" max="14857" width="6.77734375" style="449" customWidth="1"/>
    <col min="14858" max="14858" width="10.88671875" style="449" bestFit="1" customWidth="1"/>
    <col min="14859" max="14862" width="12.77734375" style="449" customWidth="1"/>
    <col min="14863" max="14863" width="12.21875" style="449" customWidth="1"/>
    <col min="14864" max="14865" width="8.88671875" style="449"/>
    <col min="14866" max="14866" width="12.77734375" style="449" bestFit="1" customWidth="1"/>
    <col min="14867" max="15104" width="8.88671875" style="449"/>
    <col min="15105" max="15105" width="7.44140625" style="449" customWidth="1"/>
    <col min="15106" max="15106" width="8.88671875" style="449"/>
    <col min="15107" max="15107" width="11.21875" style="449" customWidth="1"/>
    <col min="15108" max="15111" width="12.77734375" style="449" customWidth="1"/>
    <col min="15112" max="15112" width="5.6640625" style="449" customWidth="1"/>
    <col min="15113" max="15113" width="6.77734375" style="449" customWidth="1"/>
    <col min="15114" max="15114" width="10.88671875" style="449" bestFit="1" customWidth="1"/>
    <col min="15115" max="15118" width="12.77734375" style="449" customWidth="1"/>
    <col min="15119" max="15119" width="12.21875" style="449" customWidth="1"/>
    <col min="15120" max="15121" width="8.88671875" style="449"/>
    <col min="15122" max="15122" width="12.77734375" style="449" bestFit="1" customWidth="1"/>
    <col min="15123" max="15360" width="8.88671875" style="449"/>
    <col min="15361" max="15361" width="7.44140625" style="449" customWidth="1"/>
    <col min="15362" max="15362" width="8.88671875" style="449"/>
    <col min="15363" max="15363" width="11.21875" style="449" customWidth="1"/>
    <col min="15364" max="15367" width="12.77734375" style="449" customWidth="1"/>
    <col min="15368" max="15368" width="5.6640625" style="449" customWidth="1"/>
    <col min="15369" max="15369" width="6.77734375" style="449" customWidth="1"/>
    <col min="15370" max="15370" width="10.88671875" style="449" bestFit="1" customWidth="1"/>
    <col min="15371" max="15374" width="12.77734375" style="449" customWidth="1"/>
    <col min="15375" max="15375" width="12.21875" style="449" customWidth="1"/>
    <col min="15376" max="15377" width="8.88671875" style="449"/>
    <col min="15378" max="15378" width="12.77734375" style="449" bestFit="1" customWidth="1"/>
    <col min="15379" max="15616" width="8.88671875" style="449"/>
    <col min="15617" max="15617" width="7.44140625" style="449" customWidth="1"/>
    <col min="15618" max="15618" width="8.88671875" style="449"/>
    <col min="15619" max="15619" width="11.21875" style="449" customWidth="1"/>
    <col min="15620" max="15623" width="12.77734375" style="449" customWidth="1"/>
    <col min="15624" max="15624" width="5.6640625" style="449" customWidth="1"/>
    <col min="15625" max="15625" width="6.77734375" style="449" customWidth="1"/>
    <col min="15626" max="15626" width="10.88671875" style="449" bestFit="1" customWidth="1"/>
    <col min="15627" max="15630" width="12.77734375" style="449" customWidth="1"/>
    <col min="15631" max="15631" width="12.21875" style="449" customWidth="1"/>
    <col min="15632" max="15633" width="8.88671875" style="449"/>
    <col min="15634" max="15634" width="12.77734375" style="449" bestFit="1" customWidth="1"/>
    <col min="15635" max="15872" width="8.88671875" style="449"/>
    <col min="15873" max="15873" width="7.44140625" style="449" customWidth="1"/>
    <col min="15874" max="15874" width="8.88671875" style="449"/>
    <col min="15875" max="15875" width="11.21875" style="449" customWidth="1"/>
    <col min="15876" max="15879" width="12.77734375" style="449" customWidth="1"/>
    <col min="15880" max="15880" width="5.6640625" style="449" customWidth="1"/>
    <col min="15881" max="15881" width="6.77734375" style="449" customWidth="1"/>
    <col min="15882" max="15882" width="10.88671875" style="449" bestFit="1" customWidth="1"/>
    <col min="15883" max="15886" width="12.77734375" style="449" customWidth="1"/>
    <col min="15887" max="15887" width="12.21875" style="449" customWidth="1"/>
    <col min="15888" max="15889" width="8.88671875" style="449"/>
    <col min="15890" max="15890" width="12.77734375" style="449" bestFit="1" customWidth="1"/>
    <col min="15891" max="16128" width="8.88671875" style="449"/>
    <col min="16129" max="16129" width="7.44140625" style="449" customWidth="1"/>
    <col min="16130" max="16130" width="8.88671875" style="449"/>
    <col min="16131" max="16131" width="11.21875" style="449" customWidth="1"/>
    <col min="16132" max="16135" width="12.77734375" style="449" customWidth="1"/>
    <col min="16136" max="16136" width="5.6640625" style="449" customWidth="1"/>
    <col min="16137" max="16137" width="6.77734375" style="449" customWidth="1"/>
    <col min="16138" max="16138" width="10.88671875" style="449" bestFit="1" customWidth="1"/>
    <col min="16139" max="16142" width="12.77734375" style="449" customWidth="1"/>
    <col min="16143" max="16143" width="12.21875" style="449" customWidth="1"/>
    <col min="16144" max="16145" width="8.88671875" style="449"/>
    <col min="16146" max="16146" width="12.77734375" style="449" bestFit="1" customWidth="1"/>
    <col min="16147" max="16384" width="8.88671875" style="449"/>
  </cols>
  <sheetData>
    <row r="2" spans="1:18" ht="33.75" customHeight="1">
      <c r="A2" s="1166" t="s">
        <v>649</v>
      </c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</row>
    <row r="3" spans="1:18" ht="14.1" customHeight="1">
      <c r="A3" s="450"/>
      <c r="B3" s="450"/>
      <c r="C3" s="450"/>
      <c r="D3" s="451"/>
      <c r="E3" s="451"/>
      <c r="F3" s="451"/>
      <c r="G3" s="451"/>
      <c r="H3" s="450"/>
      <c r="I3" s="450"/>
      <c r="J3" s="450"/>
      <c r="K3" s="451"/>
      <c r="L3" s="451"/>
      <c r="M3" s="451"/>
      <c r="N3" s="451"/>
    </row>
    <row r="4" spans="1:18" ht="16.5" customHeight="1">
      <c r="A4" s="1167" t="s">
        <v>219</v>
      </c>
      <c r="B4" s="1167"/>
      <c r="C4" s="1167"/>
      <c r="D4" s="1167"/>
      <c r="E4" s="1167"/>
      <c r="F4" s="1167"/>
      <c r="G4" s="1167"/>
      <c r="H4" s="1167"/>
      <c r="I4" s="1167"/>
      <c r="J4" s="1167"/>
      <c r="K4" s="1167"/>
      <c r="L4" s="1167"/>
      <c r="M4" s="1167"/>
      <c r="N4" s="1167"/>
    </row>
    <row r="5" spans="1:18" ht="14.1" customHeight="1" thickBot="1"/>
    <row r="6" spans="1:18" ht="18" customHeight="1">
      <c r="A6" s="1168" t="s">
        <v>220</v>
      </c>
      <c r="B6" s="1169"/>
      <c r="C6" s="1169"/>
      <c r="D6" s="1169"/>
      <c r="E6" s="1169"/>
      <c r="F6" s="1169"/>
      <c r="G6" s="1170"/>
      <c r="H6" s="1171" t="s">
        <v>221</v>
      </c>
      <c r="I6" s="1172"/>
      <c r="J6" s="1172"/>
      <c r="K6" s="1173"/>
      <c r="L6" s="1173"/>
      <c r="M6" s="1173"/>
      <c r="N6" s="1174"/>
    </row>
    <row r="7" spans="1:18" ht="18" customHeight="1">
      <c r="A7" s="1175" t="s">
        <v>222</v>
      </c>
      <c r="B7" s="1177" t="s">
        <v>223</v>
      </c>
      <c r="C7" s="1177" t="s">
        <v>224</v>
      </c>
      <c r="D7" s="1179" t="s">
        <v>225</v>
      </c>
      <c r="E7" s="1181" t="s">
        <v>226</v>
      </c>
      <c r="F7" s="1179" t="s">
        <v>227</v>
      </c>
      <c r="G7" s="1187" t="s">
        <v>228</v>
      </c>
      <c r="H7" s="1189" t="s">
        <v>229</v>
      </c>
      <c r="I7" s="1177" t="s">
        <v>223</v>
      </c>
      <c r="J7" s="1177" t="s">
        <v>224</v>
      </c>
      <c r="K7" s="1181" t="s">
        <v>225</v>
      </c>
      <c r="L7" s="1181" t="s">
        <v>226</v>
      </c>
      <c r="M7" s="1185" t="s">
        <v>227</v>
      </c>
      <c r="N7" s="1183" t="s">
        <v>228</v>
      </c>
    </row>
    <row r="8" spans="1:18" ht="18" customHeight="1" thickBot="1">
      <c r="A8" s="1176"/>
      <c r="B8" s="1178"/>
      <c r="C8" s="1178"/>
      <c r="D8" s="1180"/>
      <c r="E8" s="1182"/>
      <c r="F8" s="1180"/>
      <c r="G8" s="1188"/>
      <c r="H8" s="1190"/>
      <c r="I8" s="1178"/>
      <c r="J8" s="1178"/>
      <c r="K8" s="1182"/>
      <c r="L8" s="1182"/>
      <c r="M8" s="1186"/>
      <c r="N8" s="1184"/>
    </row>
    <row r="9" spans="1:18" ht="21.95" customHeight="1" thickTop="1">
      <c r="A9" s="1191" t="s">
        <v>230</v>
      </c>
      <c r="B9" s="1192"/>
      <c r="C9" s="1193"/>
      <c r="D9" s="453">
        <f>D10+D13+D22+D26+D29+D32</f>
        <v>2293426887</v>
      </c>
      <c r="E9" s="453">
        <f>E10+E13+E22+E26+E29+E32</f>
        <v>2349424429</v>
      </c>
      <c r="F9" s="453" t="e">
        <f>F10+F14+F23+F27+F30+F35</f>
        <v>#REF!</v>
      </c>
      <c r="G9" s="1103">
        <f>G10+G14+G23+G27+G30+G33</f>
        <v>55997542</v>
      </c>
      <c r="H9" s="1193" t="s">
        <v>230</v>
      </c>
      <c r="I9" s="1194"/>
      <c r="J9" s="1194"/>
      <c r="K9" s="453">
        <f>K10+K26+K31+K38+K41</f>
        <v>2293426887</v>
      </c>
      <c r="L9" s="453">
        <f>L10+L26+L31+L38+L41</f>
        <v>2349424429</v>
      </c>
      <c r="M9" s="454" t="e">
        <f t="shared" ref="M9" si="0">M10+M26+M30+M37+M40+M43</f>
        <v>#REF!</v>
      </c>
      <c r="N9" s="1109">
        <f>N10+N26+N31+N38+N41</f>
        <v>55997542</v>
      </c>
      <c r="P9" s="505"/>
      <c r="R9" s="505"/>
    </row>
    <row r="10" spans="1:18" ht="21.95" customHeight="1">
      <c r="A10" s="1195" t="s">
        <v>231</v>
      </c>
      <c r="B10" s="1196"/>
      <c r="C10" s="1197"/>
      <c r="D10" s="455">
        <f>D11</f>
        <v>20000000</v>
      </c>
      <c r="E10" s="456">
        <f>E11</f>
        <v>20000000</v>
      </c>
      <c r="F10" s="456">
        <f>F11</f>
        <v>2135827910</v>
      </c>
      <c r="G10" s="1104">
        <f>G11</f>
        <v>0</v>
      </c>
      <c r="H10" s="1198" t="s">
        <v>184</v>
      </c>
      <c r="I10" s="1199"/>
      <c r="J10" s="1199"/>
      <c r="K10" s="457">
        <f>K11+K16+K23</f>
        <v>985825330</v>
      </c>
      <c r="L10" s="457">
        <f>L11+L16+L23</f>
        <v>1023873131</v>
      </c>
      <c r="M10" s="457">
        <f>M11+M16+M23</f>
        <v>1020199129</v>
      </c>
      <c r="N10" s="1110">
        <f>N11+N16+N23</f>
        <v>38047801</v>
      </c>
    </row>
    <row r="11" spans="1:18" ht="21.95" customHeight="1">
      <c r="A11" s="458"/>
      <c r="B11" s="1201" t="s">
        <v>231</v>
      </c>
      <c r="C11" s="1202"/>
      <c r="D11" s="459">
        <f>D12</f>
        <v>20000000</v>
      </c>
      <c r="E11" s="460">
        <f>E12</f>
        <v>20000000</v>
      </c>
      <c r="F11" s="460">
        <f>F12+F13</f>
        <v>2135827910</v>
      </c>
      <c r="G11" s="1105">
        <f>G12</f>
        <v>0</v>
      </c>
      <c r="H11" s="461"/>
      <c r="I11" s="1203" t="s">
        <v>44</v>
      </c>
      <c r="J11" s="1203"/>
      <c r="K11" s="462">
        <f>SUM(K12:K15)</f>
        <v>877132700</v>
      </c>
      <c r="L11" s="462">
        <f>SUM(L12:L15)</f>
        <v>905746500</v>
      </c>
      <c r="M11" s="462">
        <f>SUM(M12:M15)</f>
        <v>902096500</v>
      </c>
      <c r="N11" s="1111">
        <f>SUM(N12:N15)</f>
        <v>28613800</v>
      </c>
    </row>
    <row r="12" spans="1:18" ht="21.95" customHeight="1">
      <c r="A12" s="458"/>
      <c r="B12" s="479"/>
      <c r="C12" s="472" t="s">
        <v>410</v>
      </c>
      <c r="D12" s="447">
        <f>세입추경예산서!D$8</f>
        <v>20000000</v>
      </c>
      <c r="E12" s="463">
        <f>세입추경예산서!E$8</f>
        <v>20000000</v>
      </c>
      <c r="F12" s="463">
        <f>세입추경예산서!F$8</f>
        <v>20000000</v>
      </c>
      <c r="G12" s="1106">
        <f>E12-D12</f>
        <v>0</v>
      </c>
      <c r="H12" s="461"/>
      <c r="I12" s="465"/>
      <c r="J12" s="466" t="s">
        <v>3</v>
      </c>
      <c r="K12" s="467">
        <f>세출추경예산서!D8</f>
        <v>581350000</v>
      </c>
      <c r="L12" s="467">
        <f>세출추경예산서!E8</f>
        <v>598896000</v>
      </c>
      <c r="M12" s="467">
        <f>세출추경예산서!F8</f>
        <v>598896000</v>
      </c>
      <c r="N12" s="1112">
        <f>L12-K12</f>
        <v>17546000</v>
      </c>
    </row>
    <row r="13" spans="1:18" ht="21.95" customHeight="1">
      <c r="A13" s="538" t="s">
        <v>33</v>
      </c>
      <c r="B13" s="539"/>
      <c r="C13" s="540"/>
      <c r="D13" s="455">
        <f>D14</f>
        <v>2088973810</v>
      </c>
      <c r="E13" s="468">
        <f>E14</f>
        <v>2115827910</v>
      </c>
      <c r="F13" s="468">
        <f>F14</f>
        <v>2115827910</v>
      </c>
      <c r="G13" s="1104">
        <f>G14</f>
        <v>26854100</v>
      </c>
      <c r="H13" s="461"/>
      <c r="I13" s="465"/>
      <c r="J13" s="466" t="s">
        <v>160</v>
      </c>
      <c r="K13" s="467">
        <f>세출추경예산서!D37</f>
        <v>157286390</v>
      </c>
      <c r="L13" s="467">
        <f>세출추경예산서!E38+세출추경예산서!E55+세출추경예산서!E81+세출추경예산서!E98+세출추경예산서!E124+세출추경예산서!E127+세출추경예산서!E122</f>
        <v>163627660</v>
      </c>
      <c r="M13" s="467">
        <f>세출추경예산서!F38+세출추경예산서!F55+세출추경예산서!F81+세출추경예산서!F98+세출추경예산서!F124+세출추경예산서!F127</f>
        <v>159977660</v>
      </c>
      <c r="N13" s="1112">
        <f t="shared" ref="N13:N25" si="1">L13-K13</f>
        <v>6341270</v>
      </c>
    </row>
    <row r="14" spans="1:18" ht="21.95" customHeight="1">
      <c r="A14" s="469"/>
      <c r="B14" s="542" t="s">
        <v>33</v>
      </c>
      <c r="C14" s="543"/>
      <c r="D14" s="470">
        <f>SUM(D15:D21)</f>
        <v>2088973810</v>
      </c>
      <c r="E14" s="470">
        <f>SUM(E15:E21)</f>
        <v>2115827910</v>
      </c>
      <c r="F14" s="470">
        <f t="shared" ref="F14:G14" si="2">SUM(F15:F21)</f>
        <v>2115827910</v>
      </c>
      <c r="G14" s="1107">
        <f t="shared" si="2"/>
        <v>26854100</v>
      </c>
      <c r="H14" s="461"/>
      <c r="I14" s="465"/>
      <c r="J14" s="466" t="s">
        <v>108</v>
      </c>
      <c r="K14" s="467">
        <f>세출추경예산서!D131</f>
        <v>61094710</v>
      </c>
      <c r="L14" s="467">
        <f>세출추경예산서!E131</f>
        <v>63085160</v>
      </c>
      <c r="M14" s="467">
        <f>세출추경예산서!F131</f>
        <v>63085160</v>
      </c>
      <c r="N14" s="1112">
        <f t="shared" si="1"/>
        <v>1990450</v>
      </c>
    </row>
    <row r="15" spans="1:18" ht="21.95" customHeight="1">
      <c r="A15" s="469"/>
      <c r="B15" s="471"/>
      <c r="C15" s="472" t="s">
        <v>44</v>
      </c>
      <c r="D15" s="448">
        <f>세입추경예산서!D$11</f>
        <v>734986390</v>
      </c>
      <c r="E15" s="448">
        <f>세입추경예산서!E$11</f>
        <v>758873660</v>
      </c>
      <c r="F15" s="448">
        <f>세입추경예산서!F$11+세입추경예산서!F$40+세입추경예산서!F$56+세입추경예산서!F$81+세입추경예산서!F$97+세입추경예산서!F$120+세입추경예산서!F$122</f>
        <v>758873660</v>
      </c>
      <c r="G15" s="1106">
        <f t="shared" ref="G15:G21" si="3">E15-D15</f>
        <v>23887270</v>
      </c>
      <c r="H15" s="192"/>
      <c r="I15" s="465"/>
      <c r="J15" s="466" t="s">
        <v>25</v>
      </c>
      <c r="K15" s="467">
        <f>세출추경예산서!D149</f>
        <v>77401600</v>
      </c>
      <c r="L15" s="467">
        <f>세출추경예산서!E149</f>
        <v>80137680</v>
      </c>
      <c r="M15" s="467">
        <f>세출추경예산서!F149</f>
        <v>80137680</v>
      </c>
      <c r="N15" s="1112">
        <f t="shared" si="1"/>
        <v>2736080</v>
      </c>
    </row>
    <row r="16" spans="1:18" ht="21.95" customHeight="1">
      <c r="A16" s="469"/>
      <c r="B16" s="471"/>
      <c r="C16" s="472" t="s">
        <v>108</v>
      </c>
      <c r="D16" s="448">
        <f>세입추경예산서!D$125</f>
        <v>60790540</v>
      </c>
      <c r="E16" s="448">
        <f>세입추경예산서!E$125</f>
        <v>62780990</v>
      </c>
      <c r="F16" s="448">
        <f>세입추경예산서!F$125</f>
        <v>62780990</v>
      </c>
      <c r="G16" s="1106">
        <f t="shared" si="3"/>
        <v>1990450</v>
      </c>
      <c r="H16" s="192"/>
      <c r="I16" s="1203" t="s">
        <v>188</v>
      </c>
      <c r="J16" s="1203"/>
      <c r="K16" s="462">
        <f>SUM(K17:K22)</f>
        <v>103842630</v>
      </c>
      <c r="L16" s="462">
        <f>SUM(L17:L22)</f>
        <v>113326631</v>
      </c>
      <c r="M16" s="462">
        <f>SUM(M17:M22)</f>
        <v>113302629</v>
      </c>
      <c r="N16" s="1111">
        <f>SUM(N17:N22)</f>
        <v>9484001</v>
      </c>
    </row>
    <row r="17" spans="1:14" ht="21.95" customHeight="1">
      <c r="A17" s="469"/>
      <c r="B17" s="471"/>
      <c r="C17" s="472" t="s">
        <v>25</v>
      </c>
      <c r="D17" s="448">
        <f>세입추경예산서!D$141</f>
        <v>77401600</v>
      </c>
      <c r="E17" s="448">
        <f>세입추경예산서!E$141</f>
        <v>80137680</v>
      </c>
      <c r="F17" s="448">
        <f>세입추경예산서!F$141</f>
        <v>80137680</v>
      </c>
      <c r="G17" s="1106">
        <f t="shared" si="3"/>
        <v>2736080</v>
      </c>
      <c r="H17" s="193"/>
      <c r="I17" s="474"/>
      <c r="J17" s="466" t="s">
        <v>189</v>
      </c>
      <c r="K17" s="467">
        <f>세출추경예산서!D156</f>
        <v>24618830</v>
      </c>
      <c r="L17" s="467">
        <f>세출추경예산서!E156</f>
        <v>25926961</v>
      </c>
      <c r="M17" s="467">
        <f>세출추경예산서!F156</f>
        <v>25926961</v>
      </c>
      <c r="N17" s="1112">
        <f t="shared" si="1"/>
        <v>1308131</v>
      </c>
    </row>
    <row r="18" spans="1:14" ht="21.95" customHeight="1">
      <c r="A18" s="469"/>
      <c r="B18" s="476"/>
      <c r="C18" s="477" t="s">
        <v>188</v>
      </c>
      <c r="D18" s="473">
        <f>세입추경예산서!D$147</f>
        <v>65116800</v>
      </c>
      <c r="E18" s="473">
        <f>세입추경예산서!E$147</f>
        <v>70155900</v>
      </c>
      <c r="F18" s="473">
        <f>세입추경예산서!F$147</f>
        <v>70155900</v>
      </c>
      <c r="G18" s="1106">
        <f t="shared" si="3"/>
        <v>5039100</v>
      </c>
      <c r="H18" s="192"/>
      <c r="I18" s="465"/>
      <c r="J18" s="466" t="s">
        <v>190</v>
      </c>
      <c r="K18" s="467">
        <f>세출추경예산서!D181</f>
        <v>57189400</v>
      </c>
      <c r="L18" s="475">
        <f>세출추경예산서!E181</f>
        <v>66182370</v>
      </c>
      <c r="M18" s="475">
        <f>세출추경예산서!F181</f>
        <v>66182370</v>
      </c>
      <c r="N18" s="1112">
        <f t="shared" si="1"/>
        <v>8992970</v>
      </c>
    </row>
    <row r="19" spans="1:14" ht="21.95" customHeight="1">
      <c r="A19" s="478"/>
      <c r="B19" s="479"/>
      <c r="C19" s="472" t="s">
        <v>113</v>
      </c>
      <c r="D19" s="448">
        <f>세입추경예산서!D$152</f>
        <v>295520000</v>
      </c>
      <c r="E19" s="448">
        <f>세입추경예산서!E$152</f>
        <v>329832000</v>
      </c>
      <c r="F19" s="448">
        <f>세입추경예산서!F$152</f>
        <v>329832000</v>
      </c>
      <c r="G19" s="1106">
        <f t="shared" si="3"/>
        <v>34312000</v>
      </c>
      <c r="H19" s="192"/>
      <c r="I19" s="465"/>
      <c r="J19" s="466" t="s">
        <v>191</v>
      </c>
      <c r="K19" s="475">
        <f>세출추경예산서!D204</f>
        <v>10114400</v>
      </c>
      <c r="L19" s="475">
        <f>세출추경예산서!E204</f>
        <v>8217300</v>
      </c>
      <c r="M19" s="475">
        <f>세출추경예산서!F204</f>
        <v>8217300</v>
      </c>
      <c r="N19" s="1112">
        <f t="shared" si="1"/>
        <v>-1897100</v>
      </c>
    </row>
    <row r="20" spans="1:14" ht="21.95" customHeight="1">
      <c r="A20" s="478"/>
      <c r="B20" s="479"/>
      <c r="C20" s="472" t="s">
        <v>232</v>
      </c>
      <c r="D20" s="448">
        <f>세입추경예산서!D$163</f>
        <v>84437000</v>
      </c>
      <c r="E20" s="448">
        <f>세입추경예산서!E$163</f>
        <v>43990000</v>
      </c>
      <c r="F20" s="448">
        <f>세입추경예산서!F$163</f>
        <v>43990000</v>
      </c>
      <c r="G20" s="1106">
        <f t="shared" si="3"/>
        <v>-40447000</v>
      </c>
      <c r="H20" s="192"/>
      <c r="I20" s="465"/>
      <c r="J20" s="466" t="s">
        <v>194</v>
      </c>
      <c r="K20" s="475">
        <f>세출추경예산서!D225</f>
        <v>8478790</v>
      </c>
      <c r="L20" s="475">
        <f>세출추경예산서!E225</f>
        <v>9500000</v>
      </c>
      <c r="M20" s="475">
        <f>세출추경예산서!F225</f>
        <v>9500000</v>
      </c>
      <c r="N20" s="1112">
        <f t="shared" si="1"/>
        <v>1021210</v>
      </c>
    </row>
    <row r="21" spans="1:14" ht="21.95" customHeight="1">
      <c r="A21" s="478"/>
      <c r="B21" s="479"/>
      <c r="C21" s="472" t="s">
        <v>116</v>
      </c>
      <c r="D21" s="448">
        <f>세입추경예산서!D$171</f>
        <v>770721480</v>
      </c>
      <c r="E21" s="448">
        <f>세입추경예산서!E$171</f>
        <v>770057680</v>
      </c>
      <c r="F21" s="448">
        <f>세입추경예산서!F$171</f>
        <v>770057680</v>
      </c>
      <c r="G21" s="1106">
        <f t="shared" si="3"/>
        <v>-663800</v>
      </c>
      <c r="H21" s="192"/>
      <c r="I21" s="465"/>
      <c r="J21" s="466" t="s">
        <v>195</v>
      </c>
      <c r="K21" s="475">
        <f>세출추경예산서!D233</f>
        <v>541210</v>
      </c>
      <c r="L21" s="475">
        <f>세출추경예산서!E233</f>
        <v>600000</v>
      </c>
      <c r="M21" s="475">
        <f>세출추경예산서!F233</f>
        <v>575998</v>
      </c>
      <c r="N21" s="1112">
        <f t="shared" si="1"/>
        <v>58790</v>
      </c>
    </row>
    <row r="22" spans="1:14" ht="21.95" customHeight="1">
      <c r="A22" s="538" t="s">
        <v>207</v>
      </c>
      <c r="B22" s="539"/>
      <c r="C22" s="540"/>
      <c r="D22" s="480">
        <f>D23</f>
        <v>18900000</v>
      </c>
      <c r="E22" s="456">
        <f>E23</f>
        <v>19140000</v>
      </c>
      <c r="F22" s="456">
        <f>F23</f>
        <v>19140000</v>
      </c>
      <c r="G22" s="1104">
        <f>G23</f>
        <v>240000</v>
      </c>
      <c r="H22" s="192"/>
      <c r="I22" s="465"/>
      <c r="J22" s="466" t="s">
        <v>476</v>
      </c>
      <c r="K22" s="475">
        <f>세출추경예산서!D237</f>
        <v>2900000</v>
      </c>
      <c r="L22" s="475">
        <f>세출추경예산서!E237</f>
        <v>2900000</v>
      </c>
      <c r="M22" s="475">
        <f>세출추경예산서!F237</f>
        <v>2900000</v>
      </c>
      <c r="N22" s="1112">
        <f t="shared" si="1"/>
        <v>0</v>
      </c>
    </row>
    <row r="23" spans="1:14" ht="21.95" customHeight="1">
      <c r="A23" s="478"/>
      <c r="B23" s="542" t="s">
        <v>207</v>
      </c>
      <c r="C23" s="543"/>
      <c r="D23" s="481">
        <f>D24+D25</f>
        <v>18900000</v>
      </c>
      <c r="E23" s="481">
        <f>E24+E25</f>
        <v>19140000</v>
      </c>
      <c r="F23" s="481">
        <f>F24+F25</f>
        <v>19140000</v>
      </c>
      <c r="G23" s="1108">
        <f>G24+G25</f>
        <v>240000</v>
      </c>
      <c r="H23" s="192"/>
      <c r="I23" s="1203" t="s">
        <v>185</v>
      </c>
      <c r="J23" s="1203"/>
      <c r="K23" s="462">
        <f>SUM(K24:K25)</f>
        <v>4850000</v>
      </c>
      <c r="L23" s="462">
        <f t="shared" ref="L23:N23" si="4">SUM(L24:L25)</f>
        <v>4800000</v>
      </c>
      <c r="M23" s="462">
        <f t="shared" si="4"/>
        <v>4800000</v>
      </c>
      <c r="N23" s="1111">
        <f t="shared" si="4"/>
        <v>-50000</v>
      </c>
    </row>
    <row r="24" spans="1:14" ht="21.95" customHeight="1">
      <c r="A24" s="469"/>
      <c r="B24" s="471"/>
      <c r="C24" s="472" t="s">
        <v>208</v>
      </c>
      <c r="D24" s="448">
        <f>세입추경예산서!D$193+세입추경예산서!D$194</f>
        <v>11900000</v>
      </c>
      <c r="E24" s="473">
        <f>세입추경예산서!N$194+세입추경예산서!N$193</f>
        <v>12140000</v>
      </c>
      <c r="F24" s="473">
        <f>세입추경예산서!F$192</f>
        <v>12140000</v>
      </c>
      <c r="G24" s="1106">
        <f>E24-D24</f>
        <v>240000</v>
      </c>
      <c r="H24" s="192"/>
      <c r="I24" s="479"/>
      <c r="J24" s="466" t="s">
        <v>186</v>
      </c>
      <c r="K24" s="475">
        <f>세출추경예산서!D241</f>
        <v>3600000</v>
      </c>
      <c r="L24" s="475">
        <f>세출추경예산서!E241</f>
        <v>3600000</v>
      </c>
      <c r="M24" s="475">
        <f>세출추경예산서!F241</f>
        <v>3600000</v>
      </c>
      <c r="N24" s="1112">
        <f t="shared" si="1"/>
        <v>0</v>
      </c>
    </row>
    <row r="25" spans="1:14" ht="21.95" customHeight="1">
      <c r="A25" s="469"/>
      <c r="B25" s="471"/>
      <c r="C25" s="472" t="s">
        <v>209</v>
      </c>
      <c r="D25" s="448">
        <f>세입추경예산서!D$195</f>
        <v>7000000</v>
      </c>
      <c r="E25" s="473">
        <f>세입추경예산서!E$195</f>
        <v>7000000</v>
      </c>
      <c r="F25" s="473">
        <f>세입추경예산서!F$195</f>
        <v>7000000</v>
      </c>
      <c r="G25" s="1106">
        <f>E25-D25</f>
        <v>0</v>
      </c>
      <c r="H25" s="192"/>
      <c r="I25" s="465"/>
      <c r="J25" s="466" t="s">
        <v>187</v>
      </c>
      <c r="K25" s="475">
        <f>세출추경예산서!D244</f>
        <v>1250000</v>
      </c>
      <c r="L25" s="475">
        <f>세출추경예산서!E244</f>
        <v>1200000</v>
      </c>
      <c r="M25" s="475">
        <f>세출추경예산서!F244</f>
        <v>1200000</v>
      </c>
      <c r="N25" s="1112">
        <f t="shared" si="1"/>
        <v>-50000</v>
      </c>
    </row>
    <row r="26" spans="1:14" ht="21.95" customHeight="1">
      <c r="A26" s="538" t="s">
        <v>233</v>
      </c>
      <c r="B26" s="539"/>
      <c r="C26" s="540"/>
      <c r="D26" s="480">
        <f t="shared" ref="D26:G27" si="5">D27</f>
        <v>20000000</v>
      </c>
      <c r="E26" s="456">
        <f>E27</f>
        <v>20000000</v>
      </c>
      <c r="F26" s="456">
        <f t="shared" si="5"/>
        <v>20000000</v>
      </c>
      <c r="G26" s="1104">
        <f>G27</f>
        <v>0</v>
      </c>
      <c r="H26" s="1204" t="s">
        <v>196</v>
      </c>
      <c r="I26" s="1205"/>
      <c r="J26" s="1205"/>
      <c r="K26" s="457">
        <f>K27</f>
        <v>84437000</v>
      </c>
      <c r="L26" s="457">
        <f t="shared" ref="L26:M26" si="6">L27</f>
        <v>43990000</v>
      </c>
      <c r="M26" s="457">
        <f t="shared" si="6"/>
        <v>187460000</v>
      </c>
      <c r="N26" s="1110">
        <f>N27</f>
        <v>-40447000</v>
      </c>
    </row>
    <row r="27" spans="1:14" ht="21.95" customHeight="1">
      <c r="A27" s="484"/>
      <c r="B27" s="542" t="s">
        <v>233</v>
      </c>
      <c r="C27" s="543"/>
      <c r="D27" s="485">
        <f t="shared" si="5"/>
        <v>20000000</v>
      </c>
      <c r="E27" s="485">
        <f t="shared" si="5"/>
        <v>20000000</v>
      </c>
      <c r="F27" s="485">
        <f t="shared" si="5"/>
        <v>20000000</v>
      </c>
      <c r="G27" s="1105">
        <f t="shared" si="5"/>
        <v>0</v>
      </c>
      <c r="H27" s="192"/>
      <c r="I27" s="1203" t="s">
        <v>197</v>
      </c>
      <c r="J27" s="1203"/>
      <c r="K27" s="462">
        <f>SUM(K28:K30)</f>
        <v>84437000</v>
      </c>
      <c r="L27" s="462">
        <f>SUM(L28:L30)</f>
        <v>43990000</v>
      </c>
      <c r="M27" s="462">
        <f t="shared" ref="M27" si="7">SUM(M28:M29)</f>
        <v>187460000</v>
      </c>
      <c r="N27" s="1107">
        <f>SUM(N28:N30)</f>
        <v>-40447000</v>
      </c>
    </row>
    <row r="28" spans="1:14" ht="21.95" customHeight="1">
      <c r="A28" s="484"/>
      <c r="B28" s="486"/>
      <c r="C28" s="472" t="s">
        <v>234</v>
      </c>
      <c r="D28" s="448">
        <f>세입추경예산서!D$185</f>
        <v>20000000</v>
      </c>
      <c r="E28" s="473">
        <f>세입추경예산서!E$185</f>
        <v>20000000</v>
      </c>
      <c r="F28" s="473">
        <f>세입추경예산서!F$185</f>
        <v>20000000</v>
      </c>
      <c r="G28" s="1106">
        <f>E28-D28</f>
        <v>0</v>
      </c>
      <c r="H28" s="192"/>
      <c r="I28" s="465"/>
      <c r="J28" s="466" t="s">
        <v>197</v>
      </c>
      <c r="K28" s="467">
        <f>세출추경예산서!D251</f>
        <v>24880000</v>
      </c>
      <c r="L28" s="467">
        <f>세출추경예산서!E251</f>
        <v>24690000</v>
      </c>
      <c r="M28" s="467">
        <f>세출추경예산서!F251</f>
        <v>187460000</v>
      </c>
      <c r="N28" s="1112">
        <f t="shared" ref="N28:N29" si="8">L28-K28</f>
        <v>-190000</v>
      </c>
    </row>
    <row r="29" spans="1:14" ht="21.95" customHeight="1">
      <c r="A29" s="538" t="s">
        <v>235</v>
      </c>
      <c r="B29" s="539"/>
      <c r="C29" s="540"/>
      <c r="D29" s="480">
        <f>D30</f>
        <v>14400000</v>
      </c>
      <c r="E29" s="487">
        <f>E30</f>
        <v>18132585</v>
      </c>
      <c r="F29" s="487" t="e">
        <f>F30</f>
        <v>#REF!</v>
      </c>
      <c r="G29" s="1104">
        <f>G30</f>
        <v>3732585</v>
      </c>
      <c r="H29" s="192"/>
      <c r="I29" s="465"/>
      <c r="J29" s="466" t="s">
        <v>594</v>
      </c>
      <c r="K29" s="467">
        <v>0</v>
      </c>
      <c r="L29" s="467">
        <f>세출추경예산서!E$254</f>
        <v>0</v>
      </c>
      <c r="M29" s="467">
        <f>세출추경예산서!F256</f>
        <v>0</v>
      </c>
      <c r="N29" s="1112">
        <f t="shared" si="8"/>
        <v>0</v>
      </c>
    </row>
    <row r="30" spans="1:14" ht="21.95" customHeight="1">
      <c r="A30" s="488"/>
      <c r="B30" s="542" t="s">
        <v>235</v>
      </c>
      <c r="C30" s="543"/>
      <c r="D30" s="489">
        <f>D31</f>
        <v>14400000</v>
      </c>
      <c r="E30" s="489">
        <f>E31</f>
        <v>18132585</v>
      </c>
      <c r="F30" s="489" t="e">
        <f>F31+F32+F33</f>
        <v>#REF!</v>
      </c>
      <c r="G30" s="1105">
        <f>G31</f>
        <v>3732585</v>
      </c>
      <c r="H30" s="482"/>
      <c r="I30" s="483"/>
      <c r="J30" s="466" t="s">
        <v>199</v>
      </c>
      <c r="K30" s="467">
        <f>세출추경예산서!D$256</f>
        <v>59557000</v>
      </c>
      <c r="L30" s="467">
        <f>세출추경예산서!E$256</f>
        <v>19300000</v>
      </c>
      <c r="M30" s="467">
        <f>세출추경예산서!F257</f>
        <v>0</v>
      </c>
      <c r="N30" s="1112">
        <f t="shared" ref="N30" si="9">L30-K30</f>
        <v>-40257000</v>
      </c>
    </row>
    <row r="31" spans="1:14" ht="21.95" customHeight="1">
      <c r="A31" s="488"/>
      <c r="B31" s="474"/>
      <c r="C31" s="490" t="s">
        <v>236</v>
      </c>
      <c r="D31" s="491">
        <f>세입추경예산서!D$199</f>
        <v>14400000</v>
      </c>
      <c r="E31" s="475">
        <f>세입추경예산서!N$199</f>
        <v>18132585</v>
      </c>
      <c r="F31" s="475">
        <f>세입추경예산서!F$200</f>
        <v>16560000</v>
      </c>
      <c r="G31" s="1106">
        <f>E31-D31</f>
        <v>3732585</v>
      </c>
      <c r="H31" s="1206" t="s">
        <v>116</v>
      </c>
      <c r="I31" s="1207"/>
      <c r="J31" s="1207"/>
      <c r="K31" s="457">
        <f>K32+K36</f>
        <v>1158811480</v>
      </c>
      <c r="L31" s="457">
        <f>L32+L36</f>
        <v>1193143968</v>
      </c>
      <c r="M31" s="457">
        <f>M32+M36</f>
        <v>1057754938</v>
      </c>
      <c r="N31" s="1110">
        <f>N32+N36</f>
        <v>34332488</v>
      </c>
    </row>
    <row r="32" spans="1:14" ht="21.95" customHeight="1">
      <c r="A32" s="538" t="s">
        <v>130</v>
      </c>
      <c r="B32" s="539"/>
      <c r="C32" s="540"/>
      <c r="D32" s="480">
        <f>D33</f>
        <v>131153077</v>
      </c>
      <c r="E32" s="487">
        <f>E33</f>
        <v>156323934</v>
      </c>
      <c r="F32" s="487" t="e">
        <f>F33</f>
        <v>#REF!</v>
      </c>
      <c r="G32" s="1104">
        <f>G33</f>
        <v>25170857</v>
      </c>
      <c r="H32" s="482"/>
      <c r="I32" s="542" t="s">
        <v>188</v>
      </c>
      <c r="J32" s="543"/>
      <c r="K32" s="462">
        <f>SUM(K33:K35)</f>
        <v>296790000</v>
      </c>
      <c r="L32" s="462">
        <f>SUM(L33:L35)</f>
        <v>331160258</v>
      </c>
      <c r="M32" s="462">
        <f>SUM(M33:M35)</f>
        <v>304304258</v>
      </c>
      <c r="N32" s="1111">
        <f>SUM(N33:N35)</f>
        <v>34370258</v>
      </c>
    </row>
    <row r="33" spans="1:16" ht="21.95" customHeight="1">
      <c r="A33" s="478"/>
      <c r="B33" s="541" t="s">
        <v>130</v>
      </c>
      <c r="C33" s="541"/>
      <c r="D33" s="462">
        <f>D34+D35+D36+D37+D38</f>
        <v>131153077</v>
      </c>
      <c r="E33" s="462">
        <f>E34+E35+E36+E37+E38</f>
        <v>156323934</v>
      </c>
      <c r="F33" s="462" t="e">
        <f>F34+F35+F36+F37+F38</f>
        <v>#REF!</v>
      </c>
      <c r="G33" s="1105">
        <f>G34+G35+G36+G37+G38</f>
        <v>25170857</v>
      </c>
      <c r="H33" s="482"/>
      <c r="I33" s="465"/>
      <c r="J33" s="466" t="s">
        <v>113</v>
      </c>
      <c r="K33" s="467">
        <f>세출추경예산서!D$261</f>
        <v>295520000</v>
      </c>
      <c r="L33" s="467">
        <f>세출추경예산서!E$261</f>
        <v>329832000</v>
      </c>
      <c r="M33" s="467">
        <f>세출추경예산서!F262</f>
        <v>302976000</v>
      </c>
      <c r="N33" s="1112">
        <f t="shared" ref="N33:N35" si="10">L33-K33</f>
        <v>34312000</v>
      </c>
    </row>
    <row r="34" spans="1:16" ht="21.95" customHeight="1">
      <c r="A34" s="478"/>
      <c r="B34" s="479"/>
      <c r="C34" s="490" t="s">
        <v>131</v>
      </c>
      <c r="D34" s="491">
        <f>세입추경예산서!$D$207</f>
        <v>40000000</v>
      </c>
      <c r="E34" s="491">
        <f>세입추경예산서!E$207</f>
        <v>60325085</v>
      </c>
      <c r="F34" s="491">
        <f>세입추경예산서!F$207</f>
        <v>54144954</v>
      </c>
      <c r="G34" s="1106">
        <f>E34-D34</f>
        <v>20325085</v>
      </c>
      <c r="H34" s="482"/>
      <c r="I34" s="483"/>
      <c r="J34" s="466" t="s">
        <v>201</v>
      </c>
      <c r="K34" s="467">
        <f>세출추경예산서!D$264</f>
        <v>1000000</v>
      </c>
      <c r="L34" s="467">
        <f>세출추경예산서!E$264</f>
        <v>1000000</v>
      </c>
      <c r="M34" s="467">
        <f>세출추경예산서!F265</f>
        <v>1000000</v>
      </c>
      <c r="N34" s="1112">
        <f t="shared" si="10"/>
        <v>0</v>
      </c>
    </row>
    <row r="35" spans="1:16" ht="21.95" customHeight="1">
      <c r="A35" s="478"/>
      <c r="B35" s="479"/>
      <c r="C35" s="490" t="s">
        <v>411</v>
      </c>
      <c r="D35" s="491">
        <f>세입추경예산서!$D$209</f>
        <v>32000000</v>
      </c>
      <c r="E35" s="491">
        <f>세입추경예산서!$E$209</f>
        <v>32506030</v>
      </c>
      <c r="F35" s="491">
        <f>세입추경예산서!F$208</f>
        <v>15916978</v>
      </c>
      <c r="G35" s="1106">
        <f>E35-D35</f>
        <v>506030</v>
      </c>
      <c r="H35" s="482"/>
      <c r="I35" s="483"/>
      <c r="J35" s="466" t="s">
        <v>200</v>
      </c>
      <c r="K35" s="467">
        <f>세출추경예산서!D$268</f>
        <v>270000</v>
      </c>
      <c r="L35" s="467">
        <f>세출추경예산서!E$268</f>
        <v>328258</v>
      </c>
      <c r="M35" s="467">
        <f>세출추경예산서!F269</f>
        <v>328258</v>
      </c>
      <c r="N35" s="1112">
        <f t="shared" si="10"/>
        <v>58258</v>
      </c>
    </row>
    <row r="36" spans="1:16" ht="21.95" customHeight="1">
      <c r="A36" s="478"/>
      <c r="B36" s="479"/>
      <c r="C36" s="490" t="s">
        <v>132</v>
      </c>
      <c r="D36" s="491">
        <f>세입추경예산서!$D$211</f>
        <v>29500000</v>
      </c>
      <c r="E36" s="491">
        <f>세입추경예산서!$E$211</f>
        <v>29278258</v>
      </c>
      <c r="F36" s="491">
        <f>세입추경예산서!F$210</f>
        <v>51035998</v>
      </c>
      <c r="G36" s="1106">
        <f>E36-D36</f>
        <v>-221742</v>
      </c>
      <c r="H36" s="482"/>
      <c r="I36" s="1201" t="s">
        <v>116</v>
      </c>
      <c r="J36" s="1202"/>
      <c r="K36" s="462">
        <f>K37</f>
        <v>862021480</v>
      </c>
      <c r="L36" s="462">
        <f t="shared" ref="L36:M36" si="11">L37</f>
        <v>861983710</v>
      </c>
      <c r="M36" s="462">
        <f t="shared" si="11"/>
        <v>753450680</v>
      </c>
      <c r="N36" s="1111">
        <f>N37</f>
        <v>-37770</v>
      </c>
    </row>
    <row r="37" spans="1:16" ht="21.95" customHeight="1">
      <c r="A37" s="478"/>
      <c r="B37" s="479"/>
      <c r="C37" s="490" t="s">
        <v>134</v>
      </c>
      <c r="D37" s="491">
        <f>세입추경예산서!$D$213</f>
        <v>19700000</v>
      </c>
      <c r="E37" s="491">
        <f>세입추경예산서!$E$213</f>
        <v>24254901</v>
      </c>
      <c r="F37" s="491" t="e">
        <f>세입추경예산서!#REF!</f>
        <v>#REF!</v>
      </c>
      <c r="G37" s="1106">
        <f>E37-D37</f>
        <v>4554901</v>
      </c>
      <c r="H37" s="482"/>
      <c r="I37" s="483"/>
      <c r="J37" s="466" t="s">
        <v>116</v>
      </c>
      <c r="K37" s="467">
        <f>세출추경예산서!D$272</f>
        <v>862021480</v>
      </c>
      <c r="L37" s="467">
        <f>세출추경예산서!E$272</f>
        <v>861983710</v>
      </c>
      <c r="M37" s="467">
        <f>세출추경예산서!F273</f>
        <v>753450680</v>
      </c>
      <c r="N37" s="1112">
        <f t="shared" ref="N37" si="12">L37-K37</f>
        <v>-37770</v>
      </c>
    </row>
    <row r="38" spans="1:16" ht="21.95" customHeight="1">
      <c r="A38" s="478"/>
      <c r="B38" s="479"/>
      <c r="C38" s="490" t="s">
        <v>240</v>
      </c>
      <c r="D38" s="491">
        <f>세입추경예산서!$D$217</f>
        <v>9953077</v>
      </c>
      <c r="E38" s="491">
        <f>세입추경예산서!$E$217</f>
        <v>9959660</v>
      </c>
      <c r="F38" s="491">
        <f>세입추경예산서!F$214</f>
        <v>2597844</v>
      </c>
      <c r="G38" s="1106">
        <f>E38-D38</f>
        <v>6583</v>
      </c>
      <c r="H38" s="1208" t="s">
        <v>204</v>
      </c>
      <c r="I38" s="1196"/>
      <c r="J38" s="1197"/>
      <c r="K38" s="457">
        <f t="shared" ref="K38:M38" si="13">K39</f>
        <v>24353077</v>
      </c>
      <c r="L38" s="457">
        <f t="shared" si="13"/>
        <v>26519660</v>
      </c>
      <c r="M38" s="457">
        <f t="shared" si="13"/>
        <v>26487771</v>
      </c>
      <c r="N38" s="1110">
        <f>N39</f>
        <v>2166583</v>
      </c>
    </row>
    <row r="39" spans="1:16" ht="21.95" customHeight="1">
      <c r="A39" s="478"/>
      <c r="B39" s="479"/>
      <c r="C39" s="479"/>
      <c r="D39" s="565"/>
      <c r="E39" s="565"/>
      <c r="F39" s="565"/>
      <c r="G39" s="560"/>
      <c r="H39" s="494"/>
      <c r="I39" s="1201" t="s">
        <v>204</v>
      </c>
      <c r="J39" s="1202"/>
      <c r="K39" s="462">
        <f>K40</f>
        <v>24353077</v>
      </c>
      <c r="L39" s="462">
        <f>L40</f>
        <v>26519660</v>
      </c>
      <c r="M39" s="462">
        <f>M40</f>
        <v>26487771</v>
      </c>
      <c r="N39" s="1111">
        <f>N40</f>
        <v>2166583</v>
      </c>
    </row>
    <row r="40" spans="1:16" ht="21.95" customHeight="1">
      <c r="A40" s="478"/>
      <c r="B40" s="479"/>
      <c r="C40" s="479"/>
      <c r="D40" s="565"/>
      <c r="E40" s="565"/>
      <c r="F40" s="565"/>
      <c r="G40" s="560"/>
      <c r="H40" s="494"/>
      <c r="I40" s="479"/>
      <c r="J40" s="495" t="s">
        <v>204</v>
      </c>
      <c r="K40" s="496">
        <f>세출추경예산서!D$315</f>
        <v>24353077</v>
      </c>
      <c r="L40" s="496">
        <f>세출추경예산서!E$315</f>
        <v>26519660</v>
      </c>
      <c r="M40" s="496">
        <f>세출추경예산서!F316</f>
        <v>26487771</v>
      </c>
      <c r="N40" s="1112">
        <f t="shared" ref="N40" si="14">L40-K40</f>
        <v>2166583</v>
      </c>
    </row>
    <row r="41" spans="1:16" ht="21.75" customHeight="1">
      <c r="A41" s="478"/>
      <c r="B41" s="479"/>
      <c r="C41" s="479"/>
      <c r="D41" s="565"/>
      <c r="E41" s="565"/>
      <c r="F41" s="565"/>
      <c r="G41" s="560"/>
      <c r="H41" s="1208" t="s">
        <v>403</v>
      </c>
      <c r="I41" s="1196"/>
      <c r="J41" s="1197"/>
      <c r="K41" s="457">
        <f t="shared" ref="K41:L41" si="15">K42</f>
        <v>40000000</v>
      </c>
      <c r="L41" s="457">
        <f t="shared" si="15"/>
        <v>61897670</v>
      </c>
      <c r="M41" s="457" t="e">
        <f>M42</f>
        <v>#REF!</v>
      </c>
      <c r="N41" s="1110">
        <f>N42</f>
        <v>21897670</v>
      </c>
    </row>
    <row r="42" spans="1:16" ht="21.95" customHeight="1">
      <c r="A42" s="478"/>
      <c r="B42" s="479"/>
      <c r="C42" s="479"/>
      <c r="D42" s="565"/>
      <c r="E42" s="565"/>
      <c r="F42" s="565"/>
      <c r="G42" s="560">
        <f t="shared" ref="G42:G60" si="16">F42-E42</f>
        <v>0</v>
      </c>
      <c r="H42" s="494"/>
      <c r="I42" s="1201" t="s">
        <v>403</v>
      </c>
      <c r="J42" s="1202"/>
      <c r="K42" s="462">
        <f>K43</f>
        <v>40000000</v>
      </c>
      <c r="L42" s="462">
        <f>L43</f>
        <v>61897670</v>
      </c>
      <c r="M42" s="462" t="e">
        <f>M43</f>
        <v>#REF!</v>
      </c>
      <c r="N42" s="1111">
        <f>N43</f>
        <v>21897670</v>
      </c>
    </row>
    <row r="43" spans="1:16" ht="21.95" customHeight="1">
      <c r="A43" s="478"/>
      <c r="B43" s="479"/>
      <c r="C43" s="479"/>
      <c r="D43" s="565"/>
      <c r="E43" s="565"/>
      <c r="F43" s="565"/>
      <c r="G43" s="560">
        <f t="shared" si="16"/>
        <v>0</v>
      </c>
      <c r="H43" s="494"/>
      <c r="I43" s="479"/>
      <c r="J43" s="495" t="s">
        <v>403</v>
      </c>
      <c r="K43" s="496">
        <f>세출추경예산서!D$324</f>
        <v>40000000</v>
      </c>
      <c r="L43" s="496">
        <f>세출추경예산서!E$324</f>
        <v>61897670</v>
      </c>
      <c r="M43" s="496" t="e">
        <f>세출추경예산서!#REF!</f>
        <v>#REF!</v>
      </c>
      <c r="N43" s="1112">
        <f t="shared" ref="N43" si="17">L43-K43</f>
        <v>21897670</v>
      </c>
    </row>
    <row r="44" spans="1:16" ht="21.95" customHeight="1" thickBot="1">
      <c r="A44" s="478"/>
      <c r="B44" s="479"/>
      <c r="C44" s="479"/>
      <c r="D44" s="565"/>
      <c r="E44" s="565"/>
      <c r="F44" s="565"/>
      <c r="G44" s="560">
        <f t="shared" si="16"/>
        <v>0</v>
      </c>
      <c r="H44" s="494"/>
      <c r="I44" s="1200"/>
      <c r="J44" s="1200"/>
      <c r="K44" s="1023"/>
      <c r="L44" s="1023"/>
      <c r="M44" s="1023"/>
      <c r="N44" s="1113"/>
    </row>
    <row r="45" spans="1:16" ht="21.95" hidden="1" customHeight="1">
      <c r="A45" s="478"/>
      <c r="B45" s="479"/>
      <c r="C45" s="490"/>
      <c r="D45" s="491"/>
      <c r="E45" s="491"/>
      <c r="F45" s="491"/>
      <c r="G45" s="464">
        <f t="shared" si="16"/>
        <v>0</v>
      </c>
      <c r="H45" s="549"/>
      <c r="I45" s="550"/>
      <c r="J45" s="550"/>
      <c r="K45" s="550"/>
      <c r="L45" s="550"/>
      <c r="M45" s="550"/>
      <c r="N45" s="558">
        <f t="shared" ref="N45:N60" si="18">M45-L45</f>
        <v>0</v>
      </c>
    </row>
    <row r="46" spans="1:16" ht="21.95" hidden="1" customHeight="1" thickBot="1">
      <c r="A46" s="478"/>
      <c r="B46" s="479"/>
      <c r="C46" s="490"/>
      <c r="D46" s="491"/>
      <c r="E46" s="464"/>
      <c r="F46" s="464"/>
      <c r="G46" s="464">
        <f t="shared" si="16"/>
        <v>0</v>
      </c>
      <c r="H46" s="549"/>
      <c r="I46" s="550"/>
      <c r="J46" s="550"/>
      <c r="K46" s="550"/>
      <c r="L46" s="550"/>
      <c r="M46" s="550"/>
      <c r="N46" s="558">
        <f t="shared" si="18"/>
        <v>0</v>
      </c>
      <c r="O46" s="449" t="s">
        <v>184</v>
      </c>
      <c r="P46" s="449" t="s">
        <v>188</v>
      </c>
    </row>
    <row r="47" spans="1:16" ht="21.95" hidden="1" customHeight="1">
      <c r="A47" s="478"/>
      <c r="B47" s="479"/>
      <c r="C47" s="474"/>
      <c r="D47" s="492"/>
      <c r="E47" s="493"/>
      <c r="F47" s="493"/>
      <c r="G47" s="493">
        <f t="shared" si="16"/>
        <v>0</v>
      </c>
      <c r="H47" s="549"/>
      <c r="I47" s="550"/>
      <c r="J47" s="550"/>
      <c r="K47" s="550"/>
      <c r="L47" s="550"/>
      <c r="M47" s="550"/>
      <c r="N47" s="558">
        <f t="shared" si="18"/>
        <v>0</v>
      </c>
      <c r="O47" s="449" t="s">
        <v>116</v>
      </c>
      <c r="P47" s="449" t="s">
        <v>116</v>
      </c>
    </row>
    <row r="48" spans="1:16" ht="21.95" hidden="1" customHeight="1">
      <c r="A48" s="478"/>
      <c r="B48" s="479"/>
      <c r="C48" s="474"/>
      <c r="D48" s="492"/>
      <c r="E48" s="493"/>
      <c r="F48" s="493"/>
      <c r="G48" s="493">
        <f t="shared" si="16"/>
        <v>0</v>
      </c>
      <c r="H48" s="549"/>
      <c r="I48" s="550"/>
      <c r="J48" s="550"/>
      <c r="K48" s="550"/>
      <c r="L48" s="550"/>
      <c r="M48" s="550"/>
      <c r="N48" s="558">
        <f t="shared" si="18"/>
        <v>0</v>
      </c>
    </row>
    <row r="49" spans="1:17" ht="21.95" hidden="1" customHeight="1">
      <c r="A49" s="478"/>
      <c r="B49" s="479"/>
      <c r="C49" s="474"/>
      <c r="D49" s="492"/>
      <c r="E49" s="493"/>
      <c r="F49" s="493"/>
      <c r="G49" s="493">
        <f t="shared" si="16"/>
        <v>0</v>
      </c>
      <c r="H49" s="549"/>
      <c r="I49" s="550"/>
      <c r="J49" s="550"/>
      <c r="K49" s="550"/>
      <c r="L49" s="550"/>
      <c r="M49" s="550"/>
      <c r="N49" s="558">
        <f t="shared" si="18"/>
        <v>0</v>
      </c>
      <c r="O49" s="449" t="s">
        <v>116</v>
      </c>
      <c r="P49" s="449" t="s">
        <v>116</v>
      </c>
    </row>
    <row r="50" spans="1:17" ht="21.95" hidden="1" customHeight="1">
      <c r="A50" s="478"/>
      <c r="B50" s="479"/>
      <c r="C50" s="474"/>
      <c r="D50" s="492"/>
      <c r="E50" s="493"/>
      <c r="F50" s="493"/>
      <c r="G50" s="493">
        <f t="shared" si="16"/>
        <v>0</v>
      </c>
      <c r="H50" s="549"/>
      <c r="I50" s="550"/>
      <c r="J50" s="550"/>
      <c r="K50" s="550"/>
      <c r="L50" s="550"/>
      <c r="M50" s="550"/>
      <c r="N50" s="558">
        <f t="shared" si="18"/>
        <v>0</v>
      </c>
      <c r="O50" s="449" t="s">
        <v>116</v>
      </c>
      <c r="P50" s="449" t="s">
        <v>116</v>
      </c>
    </row>
    <row r="51" spans="1:17" ht="21.95" hidden="1" customHeight="1">
      <c r="A51" s="478"/>
      <c r="B51" s="479"/>
      <c r="C51" s="474"/>
      <c r="D51" s="492"/>
      <c r="E51" s="493"/>
      <c r="F51" s="493"/>
      <c r="G51" s="493">
        <f t="shared" si="16"/>
        <v>0</v>
      </c>
      <c r="H51" s="549"/>
      <c r="I51" s="550"/>
      <c r="J51" s="550"/>
      <c r="K51" s="550"/>
      <c r="L51" s="550"/>
      <c r="M51" s="550"/>
      <c r="N51" s="558">
        <f t="shared" si="18"/>
        <v>0</v>
      </c>
      <c r="O51" s="449" t="s">
        <v>184</v>
      </c>
      <c r="P51" s="449" t="s">
        <v>188</v>
      </c>
    </row>
    <row r="52" spans="1:17" ht="21.95" hidden="1" customHeight="1">
      <c r="A52" s="478"/>
      <c r="B52" s="479"/>
      <c r="C52" s="474"/>
      <c r="D52" s="492"/>
      <c r="E52" s="493"/>
      <c r="F52" s="493"/>
      <c r="G52" s="493">
        <f t="shared" si="16"/>
        <v>0</v>
      </c>
      <c r="H52" s="549"/>
      <c r="I52" s="550"/>
      <c r="J52" s="550"/>
      <c r="K52" s="550"/>
      <c r="L52" s="550"/>
      <c r="M52" s="550"/>
      <c r="N52" s="558">
        <f t="shared" si="18"/>
        <v>0</v>
      </c>
      <c r="O52" s="449" t="s">
        <v>204</v>
      </c>
      <c r="P52" s="449" t="s">
        <v>204</v>
      </c>
    </row>
    <row r="53" spans="1:17" ht="21.95" hidden="1" customHeight="1">
      <c r="A53" s="478"/>
      <c r="B53" s="479"/>
      <c r="C53" s="474"/>
      <c r="D53" s="492"/>
      <c r="E53" s="493"/>
      <c r="F53" s="493"/>
      <c r="G53" s="493">
        <f t="shared" si="16"/>
        <v>0</v>
      </c>
      <c r="H53" s="549"/>
      <c r="I53" s="550"/>
      <c r="J53" s="550"/>
      <c r="K53" s="550"/>
      <c r="L53" s="550"/>
      <c r="M53" s="550"/>
      <c r="N53" s="558">
        <f t="shared" si="18"/>
        <v>0</v>
      </c>
      <c r="O53" s="449" t="s">
        <v>204</v>
      </c>
      <c r="P53" s="449" t="s">
        <v>204</v>
      </c>
    </row>
    <row r="54" spans="1:17" ht="21.95" hidden="1" customHeight="1">
      <c r="A54" s="478"/>
      <c r="B54" s="479"/>
      <c r="C54" s="479"/>
      <c r="D54" s="479"/>
      <c r="E54" s="497"/>
      <c r="F54" s="497"/>
      <c r="G54" s="497">
        <f t="shared" si="16"/>
        <v>0</v>
      </c>
      <c r="H54" s="549"/>
      <c r="I54" s="550"/>
      <c r="J54" s="550"/>
      <c r="K54" s="550"/>
      <c r="L54" s="550"/>
      <c r="M54" s="550"/>
      <c r="N54" s="558">
        <f t="shared" si="18"/>
        <v>0</v>
      </c>
      <c r="O54" s="449" t="s">
        <v>204</v>
      </c>
      <c r="P54" s="449" t="s">
        <v>204</v>
      </c>
    </row>
    <row r="55" spans="1:17" ht="21.95" hidden="1" customHeight="1">
      <c r="A55" s="478"/>
      <c r="B55" s="479"/>
      <c r="C55" s="479"/>
      <c r="D55" s="479"/>
      <c r="E55" s="497"/>
      <c r="F55" s="497"/>
      <c r="G55" s="497">
        <f t="shared" si="16"/>
        <v>0</v>
      </c>
      <c r="H55" s="549"/>
      <c r="I55" s="550"/>
      <c r="J55" s="550"/>
      <c r="K55" s="550"/>
      <c r="L55" s="550"/>
      <c r="M55" s="550"/>
      <c r="N55" s="558">
        <f t="shared" si="18"/>
        <v>0</v>
      </c>
    </row>
    <row r="56" spans="1:17" ht="21.95" hidden="1" customHeight="1">
      <c r="A56" s="478"/>
      <c r="B56" s="479"/>
      <c r="C56" s="479"/>
      <c r="D56" s="479"/>
      <c r="E56" s="497"/>
      <c r="F56" s="497"/>
      <c r="G56" s="497">
        <f t="shared" si="16"/>
        <v>0</v>
      </c>
      <c r="H56" s="549"/>
      <c r="I56" s="550"/>
      <c r="J56" s="550"/>
      <c r="K56" s="550"/>
      <c r="L56" s="550"/>
      <c r="M56" s="550"/>
      <c r="N56" s="558">
        <f t="shared" si="18"/>
        <v>0</v>
      </c>
    </row>
    <row r="57" spans="1:17" ht="21.95" hidden="1" customHeight="1">
      <c r="A57" s="478"/>
      <c r="B57" s="479"/>
      <c r="C57" s="479"/>
      <c r="D57" s="479"/>
      <c r="E57" s="497"/>
      <c r="F57" s="497"/>
      <c r="G57" s="497">
        <f t="shared" si="16"/>
        <v>0</v>
      </c>
      <c r="H57" s="549"/>
      <c r="I57" s="550"/>
      <c r="J57" s="550"/>
      <c r="K57" s="550"/>
      <c r="L57" s="550"/>
      <c r="M57" s="550"/>
      <c r="N57" s="558">
        <f t="shared" si="18"/>
        <v>0</v>
      </c>
    </row>
    <row r="58" spans="1:17" ht="21.95" hidden="1" customHeight="1">
      <c r="A58" s="478"/>
      <c r="B58" s="479"/>
      <c r="C58" s="479"/>
      <c r="D58" s="479"/>
      <c r="E58" s="497"/>
      <c r="F58" s="497"/>
      <c r="G58" s="497">
        <f t="shared" si="16"/>
        <v>0</v>
      </c>
      <c r="H58" s="549"/>
      <c r="I58" s="550"/>
      <c r="J58" s="550"/>
      <c r="K58" s="550"/>
      <c r="L58" s="550"/>
      <c r="M58" s="550"/>
      <c r="N58" s="558">
        <f t="shared" si="18"/>
        <v>0</v>
      </c>
      <c r="O58" s="449" t="s">
        <v>403</v>
      </c>
      <c r="P58" s="449" t="s">
        <v>403</v>
      </c>
    </row>
    <row r="59" spans="1:17" ht="21.95" hidden="1" customHeight="1">
      <c r="A59" s="478"/>
      <c r="B59" s="479"/>
      <c r="C59" s="479"/>
      <c r="D59" s="479"/>
      <c r="E59" s="497"/>
      <c r="F59" s="497"/>
      <c r="G59" s="497">
        <f t="shared" si="16"/>
        <v>0</v>
      </c>
      <c r="H59" s="549"/>
      <c r="I59" s="550"/>
      <c r="J59" s="550"/>
      <c r="K59" s="550"/>
      <c r="L59" s="550"/>
      <c r="M59" s="550"/>
      <c r="N59" s="558">
        <f t="shared" si="18"/>
        <v>0</v>
      </c>
      <c r="O59" s="449" t="s">
        <v>403</v>
      </c>
      <c r="P59" s="449" t="s">
        <v>403</v>
      </c>
    </row>
    <row r="60" spans="1:17" ht="21.95" hidden="1" customHeight="1" thickBot="1">
      <c r="A60" s="478"/>
      <c r="B60" s="479"/>
      <c r="C60" s="479"/>
      <c r="D60" s="479"/>
      <c r="E60" s="497"/>
      <c r="F60" s="497"/>
      <c r="G60" s="497">
        <f t="shared" si="16"/>
        <v>0</v>
      </c>
      <c r="H60" s="551"/>
      <c r="I60" s="552"/>
      <c r="J60" s="552"/>
      <c r="K60" s="552"/>
      <c r="L60" s="552"/>
      <c r="M60" s="552"/>
      <c r="N60" s="559">
        <f t="shared" si="18"/>
        <v>0</v>
      </c>
      <c r="O60" s="449" t="s">
        <v>403</v>
      </c>
      <c r="P60" s="449" t="s">
        <v>403</v>
      </c>
      <c r="Q60" s="449" t="s">
        <v>244</v>
      </c>
    </row>
    <row r="61" spans="1:17" ht="21.95" customHeight="1" thickTop="1" thickBot="1">
      <c r="A61" s="498" t="s">
        <v>241</v>
      </c>
      <c r="B61" s="499"/>
      <c r="C61" s="499"/>
      <c r="D61" s="500">
        <f>D9</f>
        <v>2293426887</v>
      </c>
      <c r="E61" s="500">
        <f>E9</f>
        <v>2349424429</v>
      </c>
      <c r="F61" s="500" t="e">
        <f>F9</f>
        <v>#REF!</v>
      </c>
      <c r="G61" s="1115">
        <f>E61-D61</f>
        <v>55997542</v>
      </c>
      <c r="H61" s="502" t="s">
        <v>241</v>
      </c>
      <c r="I61" s="499"/>
      <c r="J61" s="499"/>
      <c r="K61" s="503">
        <f>K9</f>
        <v>2293426887</v>
      </c>
      <c r="L61" s="503">
        <f>L9</f>
        <v>2349424429</v>
      </c>
      <c r="M61" s="503" t="e">
        <f>M9</f>
        <v>#REF!</v>
      </c>
      <c r="N61" s="1114">
        <f t="shared" ref="N61" si="19">L61-K61</f>
        <v>55997542</v>
      </c>
    </row>
    <row r="62" spans="1:17" ht="18" customHeight="1" thickBot="1">
      <c r="A62" s="554"/>
      <c r="B62" s="555"/>
      <c r="C62" s="555"/>
      <c r="D62" s="556"/>
      <c r="E62" s="501"/>
      <c r="F62" s="501"/>
      <c r="G62" s="557"/>
      <c r="H62" s="561"/>
      <c r="I62" s="561"/>
      <c r="J62" s="562"/>
      <c r="K62" s="563"/>
      <c r="L62" s="563"/>
      <c r="M62" s="563"/>
      <c r="N62" s="564" t="s">
        <v>649</v>
      </c>
    </row>
    <row r="63" spans="1:17" ht="21" customHeight="1">
      <c r="A63" s="476"/>
      <c r="B63" s="476"/>
      <c r="C63" s="476"/>
      <c r="D63" s="504"/>
      <c r="E63" s="504"/>
      <c r="F63" s="504"/>
      <c r="G63" s="504"/>
    </row>
    <row r="64" spans="1:17" ht="21" customHeight="1">
      <c r="A64" s="476"/>
      <c r="B64" s="476"/>
      <c r="C64" s="476"/>
      <c r="D64" s="504"/>
      <c r="E64" s="504"/>
      <c r="F64" s="504"/>
      <c r="G64" s="504"/>
    </row>
    <row r="65" spans="1:18" ht="21.95" customHeight="1">
      <c r="A65" s="476"/>
      <c r="B65" s="476"/>
      <c r="C65" s="476"/>
      <c r="D65" s="504"/>
      <c r="E65" s="504"/>
      <c r="F65" s="504"/>
      <c r="G65" s="504"/>
    </row>
    <row r="66" spans="1:18" ht="21.95" customHeight="1">
      <c r="A66" s="476"/>
      <c r="B66" s="476"/>
      <c r="C66" s="476"/>
      <c r="D66" s="504"/>
      <c r="E66" s="504"/>
      <c r="F66" s="504"/>
      <c r="G66" s="504"/>
    </row>
    <row r="67" spans="1:18" ht="21.95" customHeight="1"/>
    <row r="68" spans="1:18" ht="21.95" customHeight="1"/>
    <row r="69" spans="1:18" ht="21.95" customHeight="1"/>
    <row r="70" spans="1:18" ht="21.95" customHeight="1"/>
    <row r="71" spans="1:18" ht="21.95" customHeight="1"/>
    <row r="72" spans="1:18" ht="21.95" customHeight="1">
      <c r="R72" s="505"/>
    </row>
    <row r="73" spans="1:18" ht="14.1" customHeight="1"/>
    <row r="74" spans="1:18" ht="15.75" customHeight="1"/>
    <row r="75" spans="1:18">
      <c r="O75" s="505"/>
    </row>
    <row r="116" spans="5:13" ht="17.25" thickBot="1"/>
    <row r="117" spans="5:13" ht="17.25" thickBot="1">
      <c r="H117" s="506"/>
      <c r="I117" s="507"/>
      <c r="J117" s="507"/>
      <c r="K117" s="508"/>
      <c r="L117" s="508"/>
      <c r="M117" s="509"/>
    </row>
    <row r="123" spans="5:13" ht="17.25" thickBot="1"/>
    <row r="124" spans="5:13" ht="17.25" thickBot="1">
      <c r="E124" s="506" t="s">
        <v>26</v>
      </c>
      <c r="F124" s="506"/>
      <c r="G124" s="506"/>
    </row>
    <row r="128" spans="5:13" ht="21" customHeight="1"/>
  </sheetData>
  <mergeCells count="35">
    <mergeCell ref="I44:J44"/>
    <mergeCell ref="B11:C11"/>
    <mergeCell ref="I11:J11"/>
    <mergeCell ref="I16:J16"/>
    <mergeCell ref="H26:J26"/>
    <mergeCell ref="I27:J27"/>
    <mergeCell ref="I23:J23"/>
    <mergeCell ref="H31:J31"/>
    <mergeCell ref="H41:J41"/>
    <mergeCell ref="H38:J38"/>
    <mergeCell ref="I36:J36"/>
    <mergeCell ref="I39:J39"/>
    <mergeCell ref="I42:J42"/>
    <mergeCell ref="A9:C9"/>
    <mergeCell ref="H9:J9"/>
    <mergeCell ref="A10:C10"/>
    <mergeCell ref="H10:J10"/>
    <mergeCell ref="I7:I8"/>
    <mergeCell ref="J7:J8"/>
    <mergeCell ref="A2:N2"/>
    <mergeCell ref="A4:N4"/>
    <mergeCell ref="A6:G6"/>
    <mergeCell ref="H6:N6"/>
    <mergeCell ref="A7:A8"/>
    <mergeCell ref="B7:B8"/>
    <mergeCell ref="C7:C8"/>
    <mergeCell ref="D7:D8"/>
    <mergeCell ref="E7:E8"/>
    <mergeCell ref="F7:F8"/>
    <mergeCell ref="N7:N8"/>
    <mergeCell ref="K7:K8"/>
    <mergeCell ref="L7:L8"/>
    <mergeCell ref="M7:M8"/>
    <mergeCell ref="G7:G8"/>
    <mergeCell ref="H7:H8"/>
  </mergeCells>
  <phoneticPr fontId="3" type="noConversion"/>
  <printOptions horizontalCentered="1" verticalCentered="1"/>
  <pageMargins left="0.15748031496062992" right="0.19685039370078741" top="0.55118110236220474" bottom="0.55118110236220474" header="0.51181102362204722" footer="0.51181102362204722"/>
  <pageSetup paperSize="8" scale="90" orientation="portrait" r:id="rId1"/>
  <rowBreaks count="1" manualBreakCount="1">
    <brk id="7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5FD1-A6DF-4A0E-B64A-69C3D76AB854}">
  <sheetPr>
    <pageSetUpPr fitToPage="1"/>
  </sheetPr>
  <dimension ref="A1:K169"/>
  <sheetViews>
    <sheetView view="pageBreakPreview" zoomScaleNormal="100" zoomScaleSheetLayoutView="100" workbookViewId="0">
      <pane ySplit="5" topLeftCell="A133" activePane="bottomLeft" state="frozen"/>
      <selection pane="bottomLeft" activeCell="D145" sqref="D145:E168"/>
    </sheetView>
  </sheetViews>
  <sheetFormatPr defaultRowHeight="13.5"/>
  <cols>
    <col min="1" max="1" width="8.6640625" style="261" customWidth="1"/>
    <col min="2" max="2" width="7.88671875" style="261" customWidth="1"/>
    <col min="3" max="3" width="20.88671875" style="261" customWidth="1"/>
    <col min="4" max="5" width="13.77734375" style="261" customWidth="1"/>
    <col min="6" max="6" width="13.77734375" style="261" hidden="1" customWidth="1"/>
    <col min="7" max="7" width="13.77734375" style="261" customWidth="1"/>
    <col min="8" max="8" width="63.88671875" style="261" bestFit="1" customWidth="1"/>
    <col min="9" max="9" width="10.44140625" style="261" customWidth="1"/>
    <col min="10" max="10" width="20.109375" style="261" customWidth="1"/>
    <col min="11" max="11" width="13.88671875" style="261" bestFit="1" customWidth="1"/>
    <col min="12" max="12" width="12.6640625" style="261" customWidth="1"/>
    <col min="13" max="13" width="12.6640625" style="261" bestFit="1" customWidth="1"/>
    <col min="14" max="14" width="14.109375" style="261" bestFit="1" customWidth="1"/>
    <col min="15" max="15" width="8.88671875" style="261"/>
    <col min="16" max="16" width="15.88671875" style="261" customWidth="1"/>
    <col min="17" max="256" width="8.88671875" style="261"/>
    <col min="257" max="257" width="8.6640625" style="261" customWidth="1"/>
    <col min="258" max="258" width="7.88671875" style="261" customWidth="1"/>
    <col min="259" max="259" width="19.109375" style="261" bestFit="1" customWidth="1"/>
    <col min="260" max="261" width="13.77734375" style="261" customWidth="1"/>
    <col min="262" max="262" width="0" style="261" hidden="1" customWidth="1"/>
    <col min="263" max="263" width="13.77734375" style="261" customWidth="1"/>
    <col min="264" max="264" width="62.44140625" style="261" bestFit="1" customWidth="1"/>
    <col min="265" max="265" width="10.6640625" style="261" customWidth="1"/>
    <col min="266" max="266" width="20.109375" style="261" customWidth="1"/>
    <col min="267" max="267" width="13.88671875" style="261" bestFit="1" customWidth="1"/>
    <col min="268" max="268" width="12.6640625" style="261" customWidth="1"/>
    <col min="269" max="269" width="12.6640625" style="261" bestFit="1" customWidth="1"/>
    <col min="270" max="270" width="14.109375" style="261" bestFit="1" customWidth="1"/>
    <col min="271" max="271" width="8.88671875" style="261"/>
    <col min="272" max="272" width="15.88671875" style="261" customWidth="1"/>
    <col min="273" max="512" width="8.88671875" style="261"/>
    <col min="513" max="513" width="8.6640625" style="261" customWidth="1"/>
    <col min="514" max="514" width="7.88671875" style="261" customWidth="1"/>
    <col min="515" max="515" width="19.109375" style="261" bestFit="1" customWidth="1"/>
    <col min="516" max="517" width="13.77734375" style="261" customWidth="1"/>
    <col min="518" max="518" width="0" style="261" hidden="1" customWidth="1"/>
    <col min="519" max="519" width="13.77734375" style="261" customWidth="1"/>
    <col min="520" max="520" width="62.44140625" style="261" bestFit="1" customWidth="1"/>
    <col min="521" max="521" width="10.6640625" style="261" customWidth="1"/>
    <col min="522" max="522" width="20.109375" style="261" customWidth="1"/>
    <col min="523" max="523" width="13.88671875" style="261" bestFit="1" customWidth="1"/>
    <col min="524" max="524" width="12.6640625" style="261" customWidth="1"/>
    <col min="525" max="525" width="12.6640625" style="261" bestFit="1" customWidth="1"/>
    <col min="526" max="526" width="14.109375" style="261" bestFit="1" customWidth="1"/>
    <col min="527" max="527" width="8.88671875" style="261"/>
    <col min="528" max="528" width="15.88671875" style="261" customWidth="1"/>
    <col min="529" max="768" width="8.88671875" style="261"/>
    <col min="769" max="769" width="8.6640625" style="261" customWidth="1"/>
    <col min="770" max="770" width="7.88671875" style="261" customWidth="1"/>
    <col min="771" max="771" width="19.109375" style="261" bestFit="1" customWidth="1"/>
    <col min="772" max="773" width="13.77734375" style="261" customWidth="1"/>
    <col min="774" max="774" width="0" style="261" hidden="1" customWidth="1"/>
    <col min="775" max="775" width="13.77734375" style="261" customWidth="1"/>
    <col min="776" max="776" width="62.44140625" style="261" bestFit="1" customWidth="1"/>
    <col min="777" max="777" width="10.6640625" style="261" customWidth="1"/>
    <col min="778" max="778" width="20.109375" style="261" customWidth="1"/>
    <col min="779" max="779" width="13.88671875" style="261" bestFit="1" customWidth="1"/>
    <col min="780" max="780" width="12.6640625" style="261" customWidth="1"/>
    <col min="781" max="781" width="12.6640625" style="261" bestFit="1" customWidth="1"/>
    <col min="782" max="782" width="14.109375" style="261" bestFit="1" customWidth="1"/>
    <col min="783" max="783" width="8.88671875" style="261"/>
    <col min="784" max="784" width="15.88671875" style="261" customWidth="1"/>
    <col min="785" max="1024" width="8.88671875" style="261"/>
    <col min="1025" max="1025" width="8.6640625" style="261" customWidth="1"/>
    <col min="1026" max="1026" width="7.88671875" style="261" customWidth="1"/>
    <col min="1027" max="1027" width="19.109375" style="261" bestFit="1" customWidth="1"/>
    <col min="1028" max="1029" width="13.77734375" style="261" customWidth="1"/>
    <col min="1030" max="1030" width="0" style="261" hidden="1" customWidth="1"/>
    <col min="1031" max="1031" width="13.77734375" style="261" customWidth="1"/>
    <col min="1032" max="1032" width="62.44140625" style="261" bestFit="1" customWidth="1"/>
    <col min="1033" max="1033" width="10.6640625" style="261" customWidth="1"/>
    <col min="1034" max="1034" width="20.109375" style="261" customWidth="1"/>
    <col min="1035" max="1035" width="13.88671875" style="261" bestFit="1" customWidth="1"/>
    <col min="1036" max="1036" width="12.6640625" style="261" customWidth="1"/>
    <col min="1037" max="1037" width="12.6640625" style="261" bestFit="1" customWidth="1"/>
    <col min="1038" max="1038" width="14.109375" style="261" bestFit="1" customWidth="1"/>
    <col min="1039" max="1039" width="8.88671875" style="261"/>
    <col min="1040" max="1040" width="15.88671875" style="261" customWidth="1"/>
    <col min="1041" max="1280" width="8.88671875" style="261"/>
    <col min="1281" max="1281" width="8.6640625" style="261" customWidth="1"/>
    <col min="1282" max="1282" width="7.88671875" style="261" customWidth="1"/>
    <col min="1283" max="1283" width="19.109375" style="261" bestFit="1" customWidth="1"/>
    <col min="1284" max="1285" width="13.77734375" style="261" customWidth="1"/>
    <col min="1286" max="1286" width="0" style="261" hidden="1" customWidth="1"/>
    <col min="1287" max="1287" width="13.77734375" style="261" customWidth="1"/>
    <col min="1288" max="1288" width="62.44140625" style="261" bestFit="1" customWidth="1"/>
    <col min="1289" max="1289" width="10.6640625" style="261" customWidth="1"/>
    <col min="1290" max="1290" width="20.109375" style="261" customWidth="1"/>
    <col min="1291" max="1291" width="13.88671875" style="261" bestFit="1" customWidth="1"/>
    <col min="1292" max="1292" width="12.6640625" style="261" customWidth="1"/>
    <col min="1293" max="1293" width="12.6640625" style="261" bestFit="1" customWidth="1"/>
    <col min="1294" max="1294" width="14.109375" style="261" bestFit="1" customWidth="1"/>
    <col min="1295" max="1295" width="8.88671875" style="261"/>
    <col min="1296" max="1296" width="15.88671875" style="261" customWidth="1"/>
    <col min="1297" max="1536" width="8.88671875" style="261"/>
    <col min="1537" max="1537" width="8.6640625" style="261" customWidth="1"/>
    <col min="1538" max="1538" width="7.88671875" style="261" customWidth="1"/>
    <col min="1539" max="1539" width="19.109375" style="261" bestFit="1" customWidth="1"/>
    <col min="1540" max="1541" width="13.77734375" style="261" customWidth="1"/>
    <col min="1542" max="1542" width="0" style="261" hidden="1" customWidth="1"/>
    <col min="1543" max="1543" width="13.77734375" style="261" customWidth="1"/>
    <col min="1544" max="1544" width="62.44140625" style="261" bestFit="1" customWidth="1"/>
    <col min="1545" max="1545" width="10.6640625" style="261" customWidth="1"/>
    <col min="1546" max="1546" width="20.109375" style="261" customWidth="1"/>
    <col min="1547" max="1547" width="13.88671875" style="261" bestFit="1" customWidth="1"/>
    <col min="1548" max="1548" width="12.6640625" style="261" customWidth="1"/>
    <col min="1549" max="1549" width="12.6640625" style="261" bestFit="1" customWidth="1"/>
    <col min="1550" max="1550" width="14.109375" style="261" bestFit="1" customWidth="1"/>
    <col min="1551" max="1551" width="8.88671875" style="261"/>
    <col min="1552" max="1552" width="15.88671875" style="261" customWidth="1"/>
    <col min="1553" max="1792" width="8.88671875" style="261"/>
    <col min="1793" max="1793" width="8.6640625" style="261" customWidth="1"/>
    <col min="1794" max="1794" width="7.88671875" style="261" customWidth="1"/>
    <col min="1795" max="1795" width="19.109375" style="261" bestFit="1" customWidth="1"/>
    <col min="1796" max="1797" width="13.77734375" style="261" customWidth="1"/>
    <col min="1798" max="1798" width="0" style="261" hidden="1" customWidth="1"/>
    <col min="1799" max="1799" width="13.77734375" style="261" customWidth="1"/>
    <col min="1800" max="1800" width="62.44140625" style="261" bestFit="1" customWidth="1"/>
    <col min="1801" max="1801" width="10.6640625" style="261" customWidth="1"/>
    <col min="1802" max="1802" width="20.109375" style="261" customWidth="1"/>
    <col min="1803" max="1803" width="13.88671875" style="261" bestFit="1" customWidth="1"/>
    <col min="1804" max="1804" width="12.6640625" style="261" customWidth="1"/>
    <col min="1805" max="1805" width="12.6640625" style="261" bestFit="1" customWidth="1"/>
    <col min="1806" max="1806" width="14.109375" style="261" bestFit="1" customWidth="1"/>
    <col min="1807" max="1807" width="8.88671875" style="261"/>
    <col min="1808" max="1808" width="15.88671875" style="261" customWidth="1"/>
    <col min="1809" max="2048" width="8.88671875" style="261"/>
    <col min="2049" max="2049" width="8.6640625" style="261" customWidth="1"/>
    <col min="2050" max="2050" width="7.88671875" style="261" customWidth="1"/>
    <col min="2051" max="2051" width="19.109375" style="261" bestFit="1" customWidth="1"/>
    <col min="2052" max="2053" width="13.77734375" style="261" customWidth="1"/>
    <col min="2054" max="2054" width="0" style="261" hidden="1" customWidth="1"/>
    <col min="2055" max="2055" width="13.77734375" style="261" customWidth="1"/>
    <col min="2056" max="2056" width="62.44140625" style="261" bestFit="1" customWidth="1"/>
    <col min="2057" max="2057" width="10.6640625" style="261" customWidth="1"/>
    <col min="2058" max="2058" width="20.109375" style="261" customWidth="1"/>
    <col min="2059" max="2059" width="13.88671875" style="261" bestFit="1" customWidth="1"/>
    <col min="2060" max="2060" width="12.6640625" style="261" customWidth="1"/>
    <col min="2061" max="2061" width="12.6640625" style="261" bestFit="1" customWidth="1"/>
    <col min="2062" max="2062" width="14.109375" style="261" bestFit="1" customWidth="1"/>
    <col min="2063" max="2063" width="8.88671875" style="261"/>
    <col min="2064" max="2064" width="15.88671875" style="261" customWidth="1"/>
    <col min="2065" max="2304" width="8.88671875" style="261"/>
    <col min="2305" max="2305" width="8.6640625" style="261" customWidth="1"/>
    <col min="2306" max="2306" width="7.88671875" style="261" customWidth="1"/>
    <col min="2307" max="2307" width="19.109375" style="261" bestFit="1" customWidth="1"/>
    <col min="2308" max="2309" width="13.77734375" style="261" customWidth="1"/>
    <col min="2310" max="2310" width="0" style="261" hidden="1" customWidth="1"/>
    <col min="2311" max="2311" width="13.77734375" style="261" customWidth="1"/>
    <col min="2312" max="2312" width="62.44140625" style="261" bestFit="1" customWidth="1"/>
    <col min="2313" max="2313" width="10.6640625" style="261" customWidth="1"/>
    <col min="2314" max="2314" width="20.109375" style="261" customWidth="1"/>
    <col min="2315" max="2315" width="13.88671875" style="261" bestFit="1" customWidth="1"/>
    <col min="2316" max="2316" width="12.6640625" style="261" customWidth="1"/>
    <col min="2317" max="2317" width="12.6640625" style="261" bestFit="1" customWidth="1"/>
    <col min="2318" max="2318" width="14.109375" style="261" bestFit="1" customWidth="1"/>
    <col min="2319" max="2319" width="8.88671875" style="261"/>
    <col min="2320" max="2320" width="15.88671875" style="261" customWidth="1"/>
    <col min="2321" max="2560" width="8.88671875" style="261"/>
    <col min="2561" max="2561" width="8.6640625" style="261" customWidth="1"/>
    <col min="2562" max="2562" width="7.88671875" style="261" customWidth="1"/>
    <col min="2563" max="2563" width="19.109375" style="261" bestFit="1" customWidth="1"/>
    <col min="2564" max="2565" width="13.77734375" style="261" customWidth="1"/>
    <col min="2566" max="2566" width="0" style="261" hidden="1" customWidth="1"/>
    <col min="2567" max="2567" width="13.77734375" style="261" customWidth="1"/>
    <col min="2568" max="2568" width="62.44140625" style="261" bestFit="1" customWidth="1"/>
    <col min="2569" max="2569" width="10.6640625" style="261" customWidth="1"/>
    <col min="2570" max="2570" width="20.109375" style="261" customWidth="1"/>
    <col min="2571" max="2571" width="13.88671875" style="261" bestFit="1" customWidth="1"/>
    <col min="2572" max="2572" width="12.6640625" style="261" customWidth="1"/>
    <col min="2573" max="2573" width="12.6640625" style="261" bestFit="1" customWidth="1"/>
    <col min="2574" max="2574" width="14.109375" style="261" bestFit="1" customWidth="1"/>
    <col min="2575" max="2575" width="8.88671875" style="261"/>
    <col min="2576" max="2576" width="15.88671875" style="261" customWidth="1"/>
    <col min="2577" max="2816" width="8.88671875" style="261"/>
    <col min="2817" max="2817" width="8.6640625" style="261" customWidth="1"/>
    <col min="2818" max="2818" width="7.88671875" style="261" customWidth="1"/>
    <col min="2819" max="2819" width="19.109375" style="261" bestFit="1" customWidth="1"/>
    <col min="2820" max="2821" width="13.77734375" style="261" customWidth="1"/>
    <col min="2822" max="2822" width="0" style="261" hidden="1" customWidth="1"/>
    <col min="2823" max="2823" width="13.77734375" style="261" customWidth="1"/>
    <col min="2824" max="2824" width="62.44140625" style="261" bestFit="1" customWidth="1"/>
    <col min="2825" max="2825" width="10.6640625" style="261" customWidth="1"/>
    <col min="2826" max="2826" width="20.109375" style="261" customWidth="1"/>
    <col min="2827" max="2827" width="13.88671875" style="261" bestFit="1" customWidth="1"/>
    <col min="2828" max="2828" width="12.6640625" style="261" customWidth="1"/>
    <col min="2829" max="2829" width="12.6640625" style="261" bestFit="1" customWidth="1"/>
    <col min="2830" max="2830" width="14.109375" style="261" bestFit="1" customWidth="1"/>
    <col min="2831" max="2831" width="8.88671875" style="261"/>
    <col min="2832" max="2832" width="15.88671875" style="261" customWidth="1"/>
    <col min="2833" max="3072" width="8.88671875" style="261"/>
    <col min="3073" max="3073" width="8.6640625" style="261" customWidth="1"/>
    <col min="3074" max="3074" width="7.88671875" style="261" customWidth="1"/>
    <col min="3075" max="3075" width="19.109375" style="261" bestFit="1" customWidth="1"/>
    <col min="3076" max="3077" width="13.77734375" style="261" customWidth="1"/>
    <col min="3078" max="3078" width="0" style="261" hidden="1" customWidth="1"/>
    <col min="3079" max="3079" width="13.77734375" style="261" customWidth="1"/>
    <col min="3080" max="3080" width="62.44140625" style="261" bestFit="1" customWidth="1"/>
    <col min="3081" max="3081" width="10.6640625" style="261" customWidth="1"/>
    <col min="3082" max="3082" width="20.109375" style="261" customWidth="1"/>
    <col min="3083" max="3083" width="13.88671875" style="261" bestFit="1" customWidth="1"/>
    <col min="3084" max="3084" width="12.6640625" style="261" customWidth="1"/>
    <col min="3085" max="3085" width="12.6640625" style="261" bestFit="1" customWidth="1"/>
    <col min="3086" max="3086" width="14.109375" style="261" bestFit="1" customWidth="1"/>
    <col min="3087" max="3087" width="8.88671875" style="261"/>
    <col min="3088" max="3088" width="15.88671875" style="261" customWidth="1"/>
    <col min="3089" max="3328" width="8.88671875" style="261"/>
    <col min="3329" max="3329" width="8.6640625" style="261" customWidth="1"/>
    <col min="3330" max="3330" width="7.88671875" style="261" customWidth="1"/>
    <col min="3331" max="3331" width="19.109375" style="261" bestFit="1" customWidth="1"/>
    <col min="3332" max="3333" width="13.77734375" style="261" customWidth="1"/>
    <col min="3334" max="3334" width="0" style="261" hidden="1" customWidth="1"/>
    <col min="3335" max="3335" width="13.77734375" style="261" customWidth="1"/>
    <col min="3336" max="3336" width="62.44140625" style="261" bestFit="1" customWidth="1"/>
    <col min="3337" max="3337" width="10.6640625" style="261" customWidth="1"/>
    <col min="3338" max="3338" width="20.109375" style="261" customWidth="1"/>
    <col min="3339" max="3339" width="13.88671875" style="261" bestFit="1" customWidth="1"/>
    <col min="3340" max="3340" width="12.6640625" style="261" customWidth="1"/>
    <col min="3341" max="3341" width="12.6640625" style="261" bestFit="1" customWidth="1"/>
    <col min="3342" max="3342" width="14.109375" style="261" bestFit="1" customWidth="1"/>
    <col min="3343" max="3343" width="8.88671875" style="261"/>
    <col min="3344" max="3344" width="15.88671875" style="261" customWidth="1"/>
    <col min="3345" max="3584" width="8.88671875" style="261"/>
    <col min="3585" max="3585" width="8.6640625" style="261" customWidth="1"/>
    <col min="3586" max="3586" width="7.88671875" style="261" customWidth="1"/>
    <col min="3587" max="3587" width="19.109375" style="261" bestFit="1" customWidth="1"/>
    <col min="3588" max="3589" width="13.77734375" style="261" customWidth="1"/>
    <col min="3590" max="3590" width="0" style="261" hidden="1" customWidth="1"/>
    <col min="3591" max="3591" width="13.77734375" style="261" customWidth="1"/>
    <col min="3592" max="3592" width="62.44140625" style="261" bestFit="1" customWidth="1"/>
    <col min="3593" max="3593" width="10.6640625" style="261" customWidth="1"/>
    <col min="3594" max="3594" width="20.109375" style="261" customWidth="1"/>
    <col min="3595" max="3595" width="13.88671875" style="261" bestFit="1" customWidth="1"/>
    <col min="3596" max="3596" width="12.6640625" style="261" customWidth="1"/>
    <col min="3597" max="3597" width="12.6640625" style="261" bestFit="1" customWidth="1"/>
    <col min="3598" max="3598" width="14.109375" style="261" bestFit="1" customWidth="1"/>
    <col min="3599" max="3599" width="8.88671875" style="261"/>
    <col min="3600" max="3600" width="15.88671875" style="261" customWidth="1"/>
    <col min="3601" max="3840" width="8.88671875" style="261"/>
    <col min="3841" max="3841" width="8.6640625" style="261" customWidth="1"/>
    <col min="3842" max="3842" width="7.88671875" style="261" customWidth="1"/>
    <col min="3843" max="3843" width="19.109375" style="261" bestFit="1" customWidth="1"/>
    <col min="3844" max="3845" width="13.77734375" style="261" customWidth="1"/>
    <col min="3846" max="3846" width="0" style="261" hidden="1" customWidth="1"/>
    <col min="3847" max="3847" width="13.77734375" style="261" customWidth="1"/>
    <col min="3848" max="3848" width="62.44140625" style="261" bestFit="1" customWidth="1"/>
    <col min="3849" max="3849" width="10.6640625" style="261" customWidth="1"/>
    <col min="3850" max="3850" width="20.109375" style="261" customWidth="1"/>
    <col min="3851" max="3851" width="13.88671875" style="261" bestFit="1" customWidth="1"/>
    <col min="3852" max="3852" width="12.6640625" style="261" customWidth="1"/>
    <col min="3853" max="3853" width="12.6640625" style="261" bestFit="1" customWidth="1"/>
    <col min="3854" max="3854" width="14.109375" style="261" bestFit="1" customWidth="1"/>
    <col min="3855" max="3855" width="8.88671875" style="261"/>
    <col min="3856" max="3856" width="15.88671875" style="261" customWidth="1"/>
    <col min="3857" max="4096" width="8.88671875" style="261"/>
    <col min="4097" max="4097" width="8.6640625" style="261" customWidth="1"/>
    <col min="4098" max="4098" width="7.88671875" style="261" customWidth="1"/>
    <col min="4099" max="4099" width="19.109375" style="261" bestFit="1" customWidth="1"/>
    <col min="4100" max="4101" width="13.77734375" style="261" customWidth="1"/>
    <col min="4102" max="4102" width="0" style="261" hidden="1" customWidth="1"/>
    <col min="4103" max="4103" width="13.77734375" style="261" customWidth="1"/>
    <col min="4104" max="4104" width="62.44140625" style="261" bestFit="1" customWidth="1"/>
    <col min="4105" max="4105" width="10.6640625" style="261" customWidth="1"/>
    <col min="4106" max="4106" width="20.109375" style="261" customWidth="1"/>
    <col min="4107" max="4107" width="13.88671875" style="261" bestFit="1" customWidth="1"/>
    <col min="4108" max="4108" width="12.6640625" style="261" customWidth="1"/>
    <col min="4109" max="4109" width="12.6640625" style="261" bestFit="1" customWidth="1"/>
    <col min="4110" max="4110" width="14.109375" style="261" bestFit="1" customWidth="1"/>
    <col min="4111" max="4111" width="8.88671875" style="261"/>
    <col min="4112" max="4112" width="15.88671875" style="261" customWidth="1"/>
    <col min="4113" max="4352" width="8.88671875" style="261"/>
    <col min="4353" max="4353" width="8.6640625" style="261" customWidth="1"/>
    <col min="4354" max="4354" width="7.88671875" style="261" customWidth="1"/>
    <col min="4355" max="4355" width="19.109375" style="261" bestFit="1" customWidth="1"/>
    <col min="4356" max="4357" width="13.77734375" style="261" customWidth="1"/>
    <col min="4358" max="4358" width="0" style="261" hidden="1" customWidth="1"/>
    <col min="4359" max="4359" width="13.77734375" style="261" customWidth="1"/>
    <col min="4360" max="4360" width="62.44140625" style="261" bestFit="1" customWidth="1"/>
    <col min="4361" max="4361" width="10.6640625" style="261" customWidth="1"/>
    <col min="4362" max="4362" width="20.109375" style="261" customWidth="1"/>
    <col min="4363" max="4363" width="13.88671875" style="261" bestFit="1" customWidth="1"/>
    <col min="4364" max="4364" width="12.6640625" style="261" customWidth="1"/>
    <col min="4365" max="4365" width="12.6640625" style="261" bestFit="1" customWidth="1"/>
    <col min="4366" max="4366" width="14.109375" style="261" bestFit="1" customWidth="1"/>
    <col min="4367" max="4367" width="8.88671875" style="261"/>
    <col min="4368" max="4368" width="15.88671875" style="261" customWidth="1"/>
    <col min="4369" max="4608" width="8.88671875" style="261"/>
    <col min="4609" max="4609" width="8.6640625" style="261" customWidth="1"/>
    <col min="4610" max="4610" width="7.88671875" style="261" customWidth="1"/>
    <col min="4611" max="4611" width="19.109375" style="261" bestFit="1" customWidth="1"/>
    <col min="4612" max="4613" width="13.77734375" style="261" customWidth="1"/>
    <col min="4614" max="4614" width="0" style="261" hidden="1" customWidth="1"/>
    <col min="4615" max="4615" width="13.77734375" style="261" customWidth="1"/>
    <col min="4616" max="4616" width="62.44140625" style="261" bestFit="1" customWidth="1"/>
    <col min="4617" max="4617" width="10.6640625" style="261" customWidth="1"/>
    <col min="4618" max="4618" width="20.109375" style="261" customWidth="1"/>
    <col min="4619" max="4619" width="13.88671875" style="261" bestFit="1" customWidth="1"/>
    <col min="4620" max="4620" width="12.6640625" style="261" customWidth="1"/>
    <col min="4621" max="4621" width="12.6640625" style="261" bestFit="1" customWidth="1"/>
    <col min="4622" max="4622" width="14.109375" style="261" bestFit="1" customWidth="1"/>
    <col min="4623" max="4623" width="8.88671875" style="261"/>
    <col min="4624" max="4624" width="15.88671875" style="261" customWidth="1"/>
    <col min="4625" max="4864" width="8.88671875" style="261"/>
    <col min="4865" max="4865" width="8.6640625" style="261" customWidth="1"/>
    <col min="4866" max="4866" width="7.88671875" style="261" customWidth="1"/>
    <col min="4867" max="4867" width="19.109375" style="261" bestFit="1" customWidth="1"/>
    <col min="4868" max="4869" width="13.77734375" style="261" customWidth="1"/>
    <col min="4870" max="4870" width="0" style="261" hidden="1" customWidth="1"/>
    <col min="4871" max="4871" width="13.77734375" style="261" customWidth="1"/>
    <col min="4872" max="4872" width="62.44140625" style="261" bestFit="1" customWidth="1"/>
    <col min="4873" max="4873" width="10.6640625" style="261" customWidth="1"/>
    <col min="4874" max="4874" width="20.109375" style="261" customWidth="1"/>
    <col min="4875" max="4875" width="13.88671875" style="261" bestFit="1" customWidth="1"/>
    <col min="4876" max="4876" width="12.6640625" style="261" customWidth="1"/>
    <col min="4877" max="4877" width="12.6640625" style="261" bestFit="1" customWidth="1"/>
    <col min="4878" max="4878" width="14.109375" style="261" bestFit="1" customWidth="1"/>
    <col min="4879" max="4879" width="8.88671875" style="261"/>
    <col min="4880" max="4880" width="15.88671875" style="261" customWidth="1"/>
    <col min="4881" max="5120" width="8.88671875" style="261"/>
    <col min="5121" max="5121" width="8.6640625" style="261" customWidth="1"/>
    <col min="5122" max="5122" width="7.88671875" style="261" customWidth="1"/>
    <col min="5123" max="5123" width="19.109375" style="261" bestFit="1" customWidth="1"/>
    <col min="5124" max="5125" width="13.77734375" style="261" customWidth="1"/>
    <col min="5126" max="5126" width="0" style="261" hidden="1" customWidth="1"/>
    <col min="5127" max="5127" width="13.77734375" style="261" customWidth="1"/>
    <col min="5128" max="5128" width="62.44140625" style="261" bestFit="1" customWidth="1"/>
    <col min="5129" max="5129" width="10.6640625" style="261" customWidth="1"/>
    <col min="5130" max="5130" width="20.109375" style="261" customWidth="1"/>
    <col min="5131" max="5131" width="13.88671875" style="261" bestFit="1" customWidth="1"/>
    <col min="5132" max="5132" width="12.6640625" style="261" customWidth="1"/>
    <col min="5133" max="5133" width="12.6640625" style="261" bestFit="1" customWidth="1"/>
    <col min="5134" max="5134" width="14.109375" style="261" bestFit="1" customWidth="1"/>
    <col min="5135" max="5135" width="8.88671875" style="261"/>
    <col min="5136" max="5136" width="15.88671875" style="261" customWidth="1"/>
    <col min="5137" max="5376" width="8.88671875" style="261"/>
    <col min="5377" max="5377" width="8.6640625" style="261" customWidth="1"/>
    <col min="5378" max="5378" width="7.88671875" style="261" customWidth="1"/>
    <col min="5379" max="5379" width="19.109375" style="261" bestFit="1" customWidth="1"/>
    <col min="5380" max="5381" width="13.77734375" style="261" customWidth="1"/>
    <col min="5382" max="5382" width="0" style="261" hidden="1" customWidth="1"/>
    <col min="5383" max="5383" width="13.77734375" style="261" customWidth="1"/>
    <col min="5384" max="5384" width="62.44140625" style="261" bestFit="1" customWidth="1"/>
    <col min="5385" max="5385" width="10.6640625" style="261" customWidth="1"/>
    <col min="5386" max="5386" width="20.109375" style="261" customWidth="1"/>
    <col min="5387" max="5387" width="13.88671875" style="261" bestFit="1" customWidth="1"/>
    <col min="5388" max="5388" width="12.6640625" style="261" customWidth="1"/>
    <col min="5389" max="5389" width="12.6640625" style="261" bestFit="1" customWidth="1"/>
    <col min="5390" max="5390" width="14.109375" style="261" bestFit="1" customWidth="1"/>
    <col min="5391" max="5391" width="8.88671875" style="261"/>
    <col min="5392" max="5392" width="15.88671875" style="261" customWidth="1"/>
    <col min="5393" max="5632" width="8.88671875" style="261"/>
    <col min="5633" max="5633" width="8.6640625" style="261" customWidth="1"/>
    <col min="5634" max="5634" width="7.88671875" style="261" customWidth="1"/>
    <col min="5635" max="5635" width="19.109375" style="261" bestFit="1" customWidth="1"/>
    <col min="5636" max="5637" width="13.77734375" style="261" customWidth="1"/>
    <col min="5638" max="5638" width="0" style="261" hidden="1" customWidth="1"/>
    <col min="5639" max="5639" width="13.77734375" style="261" customWidth="1"/>
    <col min="5640" max="5640" width="62.44140625" style="261" bestFit="1" customWidth="1"/>
    <col min="5641" max="5641" width="10.6640625" style="261" customWidth="1"/>
    <col min="5642" max="5642" width="20.109375" style="261" customWidth="1"/>
    <col min="5643" max="5643" width="13.88671875" style="261" bestFit="1" customWidth="1"/>
    <col min="5644" max="5644" width="12.6640625" style="261" customWidth="1"/>
    <col min="5645" max="5645" width="12.6640625" style="261" bestFit="1" customWidth="1"/>
    <col min="5646" max="5646" width="14.109375" style="261" bestFit="1" customWidth="1"/>
    <col min="5647" max="5647" width="8.88671875" style="261"/>
    <col min="5648" max="5648" width="15.88671875" style="261" customWidth="1"/>
    <col min="5649" max="5888" width="8.88671875" style="261"/>
    <col min="5889" max="5889" width="8.6640625" style="261" customWidth="1"/>
    <col min="5890" max="5890" width="7.88671875" style="261" customWidth="1"/>
    <col min="5891" max="5891" width="19.109375" style="261" bestFit="1" customWidth="1"/>
    <col min="5892" max="5893" width="13.77734375" style="261" customWidth="1"/>
    <col min="5894" max="5894" width="0" style="261" hidden="1" customWidth="1"/>
    <col min="5895" max="5895" width="13.77734375" style="261" customWidth="1"/>
    <col min="5896" max="5896" width="62.44140625" style="261" bestFit="1" customWidth="1"/>
    <col min="5897" max="5897" width="10.6640625" style="261" customWidth="1"/>
    <col min="5898" max="5898" width="20.109375" style="261" customWidth="1"/>
    <col min="5899" max="5899" width="13.88671875" style="261" bestFit="1" customWidth="1"/>
    <col min="5900" max="5900" width="12.6640625" style="261" customWidth="1"/>
    <col min="5901" max="5901" width="12.6640625" style="261" bestFit="1" customWidth="1"/>
    <col min="5902" max="5902" width="14.109375" style="261" bestFit="1" customWidth="1"/>
    <col min="5903" max="5903" width="8.88671875" style="261"/>
    <col min="5904" max="5904" width="15.88671875" style="261" customWidth="1"/>
    <col min="5905" max="6144" width="8.88671875" style="261"/>
    <col min="6145" max="6145" width="8.6640625" style="261" customWidth="1"/>
    <col min="6146" max="6146" width="7.88671875" style="261" customWidth="1"/>
    <col min="6147" max="6147" width="19.109375" style="261" bestFit="1" customWidth="1"/>
    <col min="6148" max="6149" width="13.77734375" style="261" customWidth="1"/>
    <col min="6150" max="6150" width="0" style="261" hidden="1" customWidth="1"/>
    <col min="6151" max="6151" width="13.77734375" style="261" customWidth="1"/>
    <col min="6152" max="6152" width="62.44140625" style="261" bestFit="1" customWidth="1"/>
    <col min="6153" max="6153" width="10.6640625" style="261" customWidth="1"/>
    <col min="6154" max="6154" width="20.109375" style="261" customWidth="1"/>
    <col min="6155" max="6155" width="13.88671875" style="261" bestFit="1" customWidth="1"/>
    <col min="6156" max="6156" width="12.6640625" style="261" customWidth="1"/>
    <col min="6157" max="6157" width="12.6640625" style="261" bestFit="1" customWidth="1"/>
    <col min="6158" max="6158" width="14.109375" style="261" bestFit="1" customWidth="1"/>
    <col min="6159" max="6159" width="8.88671875" style="261"/>
    <col min="6160" max="6160" width="15.88671875" style="261" customWidth="1"/>
    <col min="6161" max="6400" width="8.88671875" style="261"/>
    <col min="6401" max="6401" width="8.6640625" style="261" customWidth="1"/>
    <col min="6402" max="6402" width="7.88671875" style="261" customWidth="1"/>
    <col min="6403" max="6403" width="19.109375" style="261" bestFit="1" customWidth="1"/>
    <col min="6404" max="6405" width="13.77734375" style="261" customWidth="1"/>
    <col min="6406" max="6406" width="0" style="261" hidden="1" customWidth="1"/>
    <col min="6407" max="6407" width="13.77734375" style="261" customWidth="1"/>
    <col min="6408" max="6408" width="62.44140625" style="261" bestFit="1" customWidth="1"/>
    <col min="6409" max="6409" width="10.6640625" style="261" customWidth="1"/>
    <col min="6410" max="6410" width="20.109375" style="261" customWidth="1"/>
    <col min="6411" max="6411" width="13.88671875" style="261" bestFit="1" customWidth="1"/>
    <col min="6412" max="6412" width="12.6640625" style="261" customWidth="1"/>
    <col min="6413" max="6413" width="12.6640625" style="261" bestFit="1" customWidth="1"/>
    <col min="6414" max="6414" width="14.109375" style="261" bestFit="1" customWidth="1"/>
    <col min="6415" max="6415" width="8.88671875" style="261"/>
    <col min="6416" max="6416" width="15.88671875" style="261" customWidth="1"/>
    <col min="6417" max="6656" width="8.88671875" style="261"/>
    <col min="6657" max="6657" width="8.6640625" style="261" customWidth="1"/>
    <col min="6658" max="6658" width="7.88671875" style="261" customWidth="1"/>
    <col min="6659" max="6659" width="19.109375" style="261" bestFit="1" customWidth="1"/>
    <col min="6660" max="6661" width="13.77734375" style="261" customWidth="1"/>
    <col min="6662" max="6662" width="0" style="261" hidden="1" customWidth="1"/>
    <col min="6663" max="6663" width="13.77734375" style="261" customWidth="1"/>
    <col min="6664" max="6664" width="62.44140625" style="261" bestFit="1" customWidth="1"/>
    <col min="6665" max="6665" width="10.6640625" style="261" customWidth="1"/>
    <col min="6666" max="6666" width="20.109375" style="261" customWidth="1"/>
    <col min="6667" max="6667" width="13.88671875" style="261" bestFit="1" customWidth="1"/>
    <col min="6668" max="6668" width="12.6640625" style="261" customWidth="1"/>
    <col min="6669" max="6669" width="12.6640625" style="261" bestFit="1" customWidth="1"/>
    <col min="6670" max="6670" width="14.109375" style="261" bestFit="1" customWidth="1"/>
    <col min="6671" max="6671" width="8.88671875" style="261"/>
    <col min="6672" max="6672" width="15.88671875" style="261" customWidth="1"/>
    <col min="6673" max="6912" width="8.88671875" style="261"/>
    <col min="6913" max="6913" width="8.6640625" style="261" customWidth="1"/>
    <col min="6914" max="6914" width="7.88671875" style="261" customWidth="1"/>
    <col min="6915" max="6915" width="19.109375" style="261" bestFit="1" customWidth="1"/>
    <col min="6916" max="6917" width="13.77734375" style="261" customWidth="1"/>
    <col min="6918" max="6918" width="0" style="261" hidden="1" customWidth="1"/>
    <col min="6919" max="6919" width="13.77734375" style="261" customWidth="1"/>
    <col min="6920" max="6920" width="62.44140625" style="261" bestFit="1" customWidth="1"/>
    <col min="6921" max="6921" width="10.6640625" style="261" customWidth="1"/>
    <col min="6922" max="6922" width="20.109375" style="261" customWidth="1"/>
    <col min="6923" max="6923" width="13.88671875" style="261" bestFit="1" customWidth="1"/>
    <col min="6924" max="6924" width="12.6640625" style="261" customWidth="1"/>
    <col min="6925" max="6925" width="12.6640625" style="261" bestFit="1" customWidth="1"/>
    <col min="6926" max="6926" width="14.109375" style="261" bestFit="1" customWidth="1"/>
    <col min="6927" max="6927" width="8.88671875" style="261"/>
    <col min="6928" max="6928" width="15.88671875" style="261" customWidth="1"/>
    <col min="6929" max="7168" width="8.88671875" style="261"/>
    <col min="7169" max="7169" width="8.6640625" style="261" customWidth="1"/>
    <col min="7170" max="7170" width="7.88671875" style="261" customWidth="1"/>
    <col min="7171" max="7171" width="19.109375" style="261" bestFit="1" customWidth="1"/>
    <col min="7172" max="7173" width="13.77734375" style="261" customWidth="1"/>
    <col min="7174" max="7174" width="0" style="261" hidden="1" customWidth="1"/>
    <col min="7175" max="7175" width="13.77734375" style="261" customWidth="1"/>
    <col min="7176" max="7176" width="62.44140625" style="261" bestFit="1" customWidth="1"/>
    <col min="7177" max="7177" width="10.6640625" style="261" customWidth="1"/>
    <col min="7178" max="7178" width="20.109375" style="261" customWidth="1"/>
    <col min="7179" max="7179" width="13.88671875" style="261" bestFit="1" customWidth="1"/>
    <col min="7180" max="7180" width="12.6640625" style="261" customWidth="1"/>
    <col min="7181" max="7181" width="12.6640625" style="261" bestFit="1" customWidth="1"/>
    <col min="7182" max="7182" width="14.109375" style="261" bestFit="1" customWidth="1"/>
    <col min="7183" max="7183" width="8.88671875" style="261"/>
    <col min="7184" max="7184" width="15.88671875" style="261" customWidth="1"/>
    <col min="7185" max="7424" width="8.88671875" style="261"/>
    <col min="7425" max="7425" width="8.6640625" style="261" customWidth="1"/>
    <col min="7426" max="7426" width="7.88671875" style="261" customWidth="1"/>
    <col min="7427" max="7427" width="19.109375" style="261" bestFit="1" customWidth="1"/>
    <col min="7428" max="7429" width="13.77734375" style="261" customWidth="1"/>
    <col min="7430" max="7430" width="0" style="261" hidden="1" customWidth="1"/>
    <col min="7431" max="7431" width="13.77734375" style="261" customWidth="1"/>
    <col min="7432" max="7432" width="62.44140625" style="261" bestFit="1" customWidth="1"/>
    <col min="7433" max="7433" width="10.6640625" style="261" customWidth="1"/>
    <col min="7434" max="7434" width="20.109375" style="261" customWidth="1"/>
    <col min="7435" max="7435" width="13.88671875" style="261" bestFit="1" customWidth="1"/>
    <col min="7436" max="7436" width="12.6640625" style="261" customWidth="1"/>
    <col min="7437" max="7437" width="12.6640625" style="261" bestFit="1" customWidth="1"/>
    <col min="7438" max="7438" width="14.109375" style="261" bestFit="1" customWidth="1"/>
    <col min="7439" max="7439" width="8.88671875" style="261"/>
    <col min="7440" max="7440" width="15.88671875" style="261" customWidth="1"/>
    <col min="7441" max="7680" width="8.88671875" style="261"/>
    <col min="7681" max="7681" width="8.6640625" style="261" customWidth="1"/>
    <col min="7682" max="7682" width="7.88671875" style="261" customWidth="1"/>
    <col min="7683" max="7683" width="19.109375" style="261" bestFit="1" customWidth="1"/>
    <col min="7684" max="7685" width="13.77734375" style="261" customWidth="1"/>
    <col min="7686" max="7686" width="0" style="261" hidden="1" customWidth="1"/>
    <col min="7687" max="7687" width="13.77734375" style="261" customWidth="1"/>
    <col min="7688" max="7688" width="62.44140625" style="261" bestFit="1" customWidth="1"/>
    <col min="7689" max="7689" width="10.6640625" style="261" customWidth="1"/>
    <col min="7690" max="7690" width="20.109375" style="261" customWidth="1"/>
    <col min="7691" max="7691" width="13.88671875" style="261" bestFit="1" customWidth="1"/>
    <col min="7692" max="7692" width="12.6640625" style="261" customWidth="1"/>
    <col min="7693" max="7693" width="12.6640625" style="261" bestFit="1" customWidth="1"/>
    <col min="7694" max="7694" width="14.109375" style="261" bestFit="1" customWidth="1"/>
    <col min="7695" max="7695" width="8.88671875" style="261"/>
    <col min="7696" max="7696" width="15.88671875" style="261" customWidth="1"/>
    <col min="7697" max="7936" width="8.88671875" style="261"/>
    <col min="7937" max="7937" width="8.6640625" style="261" customWidth="1"/>
    <col min="7938" max="7938" width="7.88671875" style="261" customWidth="1"/>
    <col min="7939" max="7939" width="19.109375" style="261" bestFit="1" customWidth="1"/>
    <col min="7940" max="7941" width="13.77734375" style="261" customWidth="1"/>
    <col min="7942" max="7942" width="0" style="261" hidden="1" customWidth="1"/>
    <col min="7943" max="7943" width="13.77734375" style="261" customWidth="1"/>
    <col min="7944" max="7944" width="62.44140625" style="261" bestFit="1" customWidth="1"/>
    <col min="7945" max="7945" width="10.6640625" style="261" customWidth="1"/>
    <col min="7946" max="7946" width="20.109375" style="261" customWidth="1"/>
    <col min="7947" max="7947" width="13.88671875" style="261" bestFit="1" customWidth="1"/>
    <col min="7948" max="7948" width="12.6640625" style="261" customWidth="1"/>
    <col min="7949" max="7949" width="12.6640625" style="261" bestFit="1" customWidth="1"/>
    <col min="7950" max="7950" width="14.109375" style="261" bestFit="1" customWidth="1"/>
    <col min="7951" max="7951" width="8.88671875" style="261"/>
    <col min="7952" max="7952" width="15.88671875" style="261" customWidth="1"/>
    <col min="7953" max="8192" width="8.88671875" style="261"/>
    <col min="8193" max="8193" width="8.6640625" style="261" customWidth="1"/>
    <col min="8194" max="8194" width="7.88671875" style="261" customWidth="1"/>
    <col min="8195" max="8195" width="19.109375" style="261" bestFit="1" customWidth="1"/>
    <col min="8196" max="8197" width="13.77734375" style="261" customWidth="1"/>
    <col min="8198" max="8198" width="0" style="261" hidden="1" customWidth="1"/>
    <col min="8199" max="8199" width="13.77734375" style="261" customWidth="1"/>
    <col min="8200" max="8200" width="62.44140625" style="261" bestFit="1" customWidth="1"/>
    <col min="8201" max="8201" width="10.6640625" style="261" customWidth="1"/>
    <col min="8202" max="8202" width="20.109375" style="261" customWidth="1"/>
    <col min="8203" max="8203" width="13.88671875" style="261" bestFit="1" customWidth="1"/>
    <col min="8204" max="8204" width="12.6640625" style="261" customWidth="1"/>
    <col min="8205" max="8205" width="12.6640625" style="261" bestFit="1" customWidth="1"/>
    <col min="8206" max="8206" width="14.109375" style="261" bestFit="1" customWidth="1"/>
    <col min="8207" max="8207" width="8.88671875" style="261"/>
    <col min="8208" max="8208" width="15.88671875" style="261" customWidth="1"/>
    <col min="8209" max="8448" width="8.88671875" style="261"/>
    <col min="8449" max="8449" width="8.6640625" style="261" customWidth="1"/>
    <col min="8450" max="8450" width="7.88671875" style="261" customWidth="1"/>
    <col min="8451" max="8451" width="19.109375" style="261" bestFit="1" customWidth="1"/>
    <col min="8452" max="8453" width="13.77734375" style="261" customWidth="1"/>
    <col min="8454" max="8454" width="0" style="261" hidden="1" customWidth="1"/>
    <col min="8455" max="8455" width="13.77734375" style="261" customWidth="1"/>
    <col min="8456" max="8456" width="62.44140625" style="261" bestFit="1" customWidth="1"/>
    <col min="8457" max="8457" width="10.6640625" style="261" customWidth="1"/>
    <col min="8458" max="8458" width="20.109375" style="261" customWidth="1"/>
    <col min="8459" max="8459" width="13.88671875" style="261" bestFit="1" customWidth="1"/>
    <col min="8460" max="8460" width="12.6640625" style="261" customWidth="1"/>
    <col min="8461" max="8461" width="12.6640625" style="261" bestFit="1" customWidth="1"/>
    <col min="8462" max="8462" width="14.109375" style="261" bestFit="1" customWidth="1"/>
    <col min="8463" max="8463" width="8.88671875" style="261"/>
    <col min="8464" max="8464" width="15.88671875" style="261" customWidth="1"/>
    <col min="8465" max="8704" width="8.88671875" style="261"/>
    <col min="8705" max="8705" width="8.6640625" style="261" customWidth="1"/>
    <col min="8706" max="8706" width="7.88671875" style="261" customWidth="1"/>
    <col min="8707" max="8707" width="19.109375" style="261" bestFit="1" customWidth="1"/>
    <col min="8708" max="8709" width="13.77734375" style="261" customWidth="1"/>
    <col min="8710" max="8710" width="0" style="261" hidden="1" customWidth="1"/>
    <col min="8711" max="8711" width="13.77734375" style="261" customWidth="1"/>
    <col min="8712" max="8712" width="62.44140625" style="261" bestFit="1" customWidth="1"/>
    <col min="8713" max="8713" width="10.6640625" style="261" customWidth="1"/>
    <col min="8714" max="8714" width="20.109375" style="261" customWidth="1"/>
    <col min="8715" max="8715" width="13.88671875" style="261" bestFit="1" customWidth="1"/>
    <col min="8716" max="8716" width="12.6640625" style="261" customWidth="1"/>
    <col min="8717" max="8717" width="12.6640625" style="261" bestFit="1" customWidth="1"/>
    <col min="8718" max="8718" width="14.109375" style="261" bestFit="1" customWidth="1"/>
    <col min="8719" max="8719" width="8.88671875" style="261"/>
    <col min="8720" max="8720" width="15.88671875" style="261" customWidth="1"/>
    <col min="8721" max="8960" width="8.88671875" style="261"/>
    <col min="8961" max="8961" width="8.6640625" style="261" customWidth="1"/>
    <col min="8962" max="8962" width="7.88671875" style="261" customWidth="1"/>
    <col min="8963" max="8963" width="19.109375" style="261" bestFit="1" customWidth="1"/>
    <col min="8964" max="8965" width="13.77734375" style="261" customWidth="1"/>
    <col min="8966" max="8966" width="0" style="261" hidden="1" customWidth="1"/>
    <col min="8967" max="8967" width="13.77734375" style="261" customWidth="1"/>
    <col min="8968" max="8968" width="62.44140625" style="261" bestFit="1" customWidth="1"/>
    <col min="8969" max="8969" width="10.6640625" style="261" customWidth="1"/>
    <col min="8970" max="8970" width="20.109375" style="261" customWidth="1"/>
    <col min="8971" max="8971" width="13.88671875" style="261" bestFit="1" customWidth="1"/>
    <col min="8972" max="8972" width="12.6640625" style="261" customWidth="1"/>
    <col min="8973" max="8973" width="12.6640625" style="261" bestFit="1" customWidth="1"/>
    <col min="8974" max="8974" width="14.109375" style="261" bestFit="1" customWidth="1"/>
    <col min="8975" max="8975" width="8.88671875" style="261"/>
    <col min="8976" max="8976" width="15.88671875" style="261" customWidth="1"/>
    <col min="8977" max="9216" width="8.88671875" style="261"/>
    <col min="9217" max="9217" width="8.6640625" style="261" customWidth="1"/>
    <col min="9218" max="9218" width="7.88671875" style="261" customWidth="1"/>
    <col min="9219" max="9219" width="19.109375" style="261" bestFit="1" customWidth="1"/>
    <col min="9220" max="9221" width="13.77734375" style="261" customWidth="1"/>
    <col min="9222" max="9222" width="0" style="261" hidden="1" customWidth="1"/>
    <col min="9223" max="9223" width="13.77734375" style="261" customWidth="1"/>
    <col min="9224" max="9224" width="62.44140625" style="261" bestFit="1" customWidth="1"/>
    <col min="9225" max="9225" width="10.6640625" style="261" customWidth="1"/>
    <col min="9226" max="9226" width="20.109375" style="261" customWidth="1"/>
    <col min="9227" max="9227" width="13.88671875" style="261" bestFit="1" customWidth="1"/>
    <col min="9228" max="9228" width="12.6640625" style="261" customWidth="1"/>
    <col min="9229" max="9229" width="12.6640625" style="261" bestFit="1" customWidth="1"/>
    <col min="9230" max="9230" width="14.109375" style="261" bestFit="1" customWidth="1"/>
    <col min="9231" max="9231" width="8.88671875" style="261"/>
    <col min="9232" max="9232" width="15.88671875" style="261" customWidth="1"/>
    <col min="9233" max="9472" width="8.88671875" style="261"/>
    <col min="9473" max="9473" width="8.6640625" style="261" customWidth="1"/>
    <col min="9474" max="9474" width="7.88671875" style="261" customWidth="1"/>
    <col min="9475" max="9475" width="19.109375" style="261" bestFit="1" customWidth="1"/>
    <col min="9476" max="9477" width="13.77734375" style="261" customWidth="1"/>
    <col min="9478" max="9478" width="0" style="261" hidden="1" customWidth="1"/>
    <col min="9479" max="9479" width="13.77734375" style="261" customWidth="1"/>
    <col min="9480" max="9480" width="62.44140625" style="261" bestFit="1" customWidth="1"/>
    <col min="9481" max="9481" width="10.6640625" style="261" customWidth="1"/>
    <col min="9482" max="9482" width="20.109375" style="261" customWidth="1"/>
    <col min="9483" max="9483" width="13.88671875" style="261" bestFit="1" customWidth="1"/>
    <col min="9484" max="9484" width="12.6640625" style="261" customWidth="1"/>
    <col min="9485" max="9485" width="12.6640625" style="261" bestFit="1" customWidth="1"/>
    <col min="9486" max="9486" width="14.109375" style="261" bestFit="1" customWidth="1"/>
    <col min="9487" max="9487" width="8.88671875" style="261"/>
    <col min="9488" max="9488" width="15.88671875" style="261" customWidth="1"/>
    <col min="9489" max="9728" width="8.88671875" style="261"/>
    <col min="9729" max="9729" width="8.6640625" style="261" customWidth="1"/>
    <col min="9730" max="9730" width="7.88671875" style="261" customWidth="1"/>
    <col min="9731" max="9731" width="19.109375" style="261" bestFit="1" customWidth="1"/>
    <col min="9732" max="9733" width="13.77734375" style="261" customWidth="1"/>
    <col min="9734" max="9734" width="0" style="261" hidden="1" customWidth="1"/>
    <col min="9735" max="9735" width="13.77734375" style="261" customWidth="1"/>
    <col min="9736" max="9736" width="62.44140625" style="261" bestFit="1" customWidth="1"/>
    <col min="9737" max="9737" width="10.6640625" style="261" customWidth="1"/>
    <col min="9738" max="9738" width="20.109375" style="261" customWidth="1"/>
    <col min="9739" max="9739" width="13.88671875" style="261" bestFit="1" customWidth="1"/>
    <col min="9740" max="9740" width="12.6640625" style="261" customWidth="1"/>
    <col min="9741" max="9741" width="12.6640625" style="261" bestFit="1" customWidth="1"/>
    <col min="9742" max="9742" width="14.109375" style="261" bestFit="1" customWidth="1"/>
    <col min="9743" max="9743" width="8.88671875" style="261"/>
    <col min="9744" max="9744" width="15.88671875" style="261" customWidth="1"/>
    <col min="9745" max="9984" width="8.88671875" style="261"/>
    <col min="9985" max="9985" width="8.6640625" style="261" customWidth="1"/>
    <col min="9986" max="9986" width="7.88671875" style="261" customWidth="1"/>
    <col min="9987" max="9987" width="19.109375" style="261" bestFit="1" customWidth="1"/>
    <col min="9988" max="9989" width="13.77734375" style="261" customWidth="1"/>
    <col min="9990" max="9990" width="0" style="261" hidden="1" customWidth="1"/>
    <col min="9991" max="9991" width="13.77734375" style="261" customWidth="1"/>
    <col min="9992" max="9992" width="62.44140625" style="261" bestFit="1" customWidth="1"/>
    <col min="9993" max="9993" width="10.6640625" style="261" customWidth="1"/>
    <col min="9994" max="9994" width="20.109375" style="261" customWidth="1"/>
    <col min="9995" max="9995" width="13.88671875" style="261" bestFit="1" customWidth="1"/>
    <col min="9996" max="9996" width="12.6640625" style="261" customWidth="1"/>
    <col min="9997" max="9997" width="12.6640625" style="261" bestFit="1" customWidth="1"/>
    <col min="9998" max="9998" width="14.109375" style="261" bestFit="1" customWidth="1"/>
    <col min="9999" max="9999" width="8.88671875" style="261"/>
    <col min="10000" max="10000" width="15.88671875" style="261" customWidth="1"/>
    <col min="10001" max="10240" width="8.88671875" style="261"/>
    <col min="10241" max="10241" width="8.6640625" style="261" customWidth="1"/>
    <col min="10242" max="10242" width="7.88671875" style="261" customWidth="1"/>
    <col min="10243" max="10243" width="19.109375" style="261" bestFit="1" customWidth="1"/>
    <col min="10244" max="10245" width="13.77734375" style="261" customWidth="1"/>
    <col min="10246" max="10246" width="0" style="261" hidden="1" customWidth="1"/>
    <col min="10247" max="10247" width="13.77734375" style="261" customWidth="1"/>
    <col min="10248" max="10248" width="62.44140625" style="261" bestFit="1" customWidth="1"/>
    <col min="10249" max="10249" width="10.6640625" style="261" customWidth="1"/>
    <col min="10250" max="10250" width="20.109375" style="261" customWidth="1"/>
    <col min="10251" max="10251" width="13.88671875" style="261" bestFit="1" customWidth="1"/>
    <col min="10252" max="10252" width="12.6640625" style="261" customWidth="1"/>
    <col min="10253" max="10253" width="12.6640625" style="261" bestFit="1" customWidth="1"/>
    <col min="10254" max="10254" width="14.109375" style="261" bestFit="1" customWidth="1"/>
    <col min="10255" max="10255" width="8.88671875" style="261"/>
    <col min="10256" max="10256" width="15.88671875" style="261" customWidth="1"/>
    <col min="10257" max="10496" width="8.88671875" style="261"/>
    <col min="10497" max="10497" width="8.6640625" style="261" customWidth="1"/>
    <col min="10498" max="10498" width="7.88671875" style="261" customWidth="1"/>
    <col min="10499" max="10499" width="19.109375" style="261" bestFit="1" customWidth="1"/>
    <col min="10500" max="10501" width="13.77734375" style="261" customWidth="1"/>
    <col min="10502" max="10502" width="0" style="261" hidden="1" customWidth="1"/>
    <col min="10503" max="10503" width="13.77734375" style="261" customWidth="1"/>
    <col min="10504" max="10504" width="62.44140625" style="261" bestFit="1" customWidth="1"/>
    <col min="10505" max="10505" width="10.6640625" style="261" customWidth="1"/>
    <col min="10506" max="10506" width="20.109375" style="261" customWidth="1"/>
    <col min="10507" max="10507" width="13.88671875" style="261" bestFit="1" customWidth="1"/>
    <col min="10508" max="10508" width="12.6640625" style="261" customWidth="1"/>
    <col min="10509" max="10509" width="12.6640625" style="261" bestFit="1" customWidth="1"/>
    <col min="10510" max="10510" width="14.109375" style="261" bestFit="1" customWidth="1"/>
    <col min="10511" max="10511" width="8.88671875" style="261"/>
    <col min="10512" max="10512" width="15.88671875" style="261" customWidth="1"/>
    <col min="10513" max="10752" width="8.88671875" style="261"/>
    <col min="10753" max="10753" width="8.6640625" style="261" customWidth="1"/>
    <col min="10754" max="10754" width="7.88671875" style="261" customWidth="1"/>
    <col min="10755" max="10755" width="19.109375" style="261" bestFit="1" customWidth="1"/>
    <col min="10756" max="10757" width="13.77734375" style="261" customWidth="1"/>
    <col min="10758" max="10758" width="0" style="261" hidden="1" customWidth="1"/>
    <col min="10759" max="10759" width="13.77734375" style="261" customWidth="1"/>
    <col min="10760" max="10760" width="62.44140625" style="261" bestFit="1" customWidth="1"/>
    <col min="10761" max="10761" width="10.6640625" style="261" customWidth="1"/>
    <col min="10762" max="10762" width="20.109375" style="261" customWidth="1"/>
    <col min="10763" max="10763" width="13.88671875" style="261" bestFit="1" customWidth="1"/>
    <col min="10764" max="10764" width="12.6640625" style="261" customWidth="1"/>
    <col min="10765" max="10765" width="12.6640625" style="261" bestFit="1" customWidth="1"/>
    <col min="10766" max="10766" width="14.109375" style="261" bestFit="1" customWidth="1"/>
    <col min="10767" max="10767" width="8.88671875" style="261"/>
    <col min="10768" max="10768" width="15.88671875" style="261" customWidth="1"/>
    <col min="10769" max="11008" width="8.88671875" style="261"/>
    <col min="11009" max="11009" width="8.6640625" style="261" customWidth="1"/>
    <col min="11010" max="11010" width="7.88671875" style="261" customWidth="1"/>
    <col min="11011" max="11011" width="19.109375" style="261" bestFit="1" customWidth="1"/>
    <col min="11012" max="11013" width="13.77734375" style="261" customWidth="1"/>
    <col min="11014" max="11014" width="0" style="261" hidden="1" customWidth="1"/>
    <col min="11015" max="11015" width="13.77734375" style="261" customWidth="1"/>
    <col min="11016" max="11016" width="62.44140625" style="261" bestFit="1" customWidth="1"/>
    <col min="11017" max="11017" width="10.6640625" style="261" customWidth="1"/>
    <col min="11018" max="11018" width="20.109375" style="261" customWidth="1"/>
    <col min="11019" max="11019" width="13.88671875" style="261" bestFit="1" customWidth="1"/>
    <col min="11020" max="11020" width="12.6640625" style="261" customWidth="1"/>
    <col min="11021" max="11021" width="12.6640625" style="261" bestFit="1" customWidth="1"/>
    <col min="11022" max="11022" width="14.109375" style="261" bestFit="1" customWidth="1"/>
    <col min="11023" max="11023" width="8.88671875" style="261"/>
    <col min="11024" max="11024" width="15.88671875" style="261" customWidth="1"/>
    <col min="11025" max="11264" width="8.88671875" style="261"/>
    <col min="11265" max="11265" width="8.6640625" style="261" customWidth="1"/>
    <col min="11266" max="11266" width="7.88671875" style="261" customWidth="1"/>
    <col min="11267" max="11267" width="19.109375" style="261" bestFit="1" customWidth="1"/>
    <col min="11268" max="11269" width="13.77734375" style="261" customWidth="1"/>
    <col min="11270" max="11270" width="0" style="261" hidden="1" customWidth="1"/>
    <col min="11271" max="11271" width="13.77734375" style="261" customWidth="1"/>
    <col min="11272" max="11272" width="62.44140625" style="261" bestFit="1" customWidth="1"/>
    <col min="11273" max="11273" width="10.6640625" style="261" customWidth="1"/>
    <col min="11274" max="11274" width="20.109375" style="261" customWidth="1"/>
    <col min="11275" max="11275" width="13.88671875" style="261" bestFit="1" customWidth="1"/>
    <col min="11276" max="11276" width="12.6640625" style="261" customWidth="1"/>
    <col min="11277" max="11277" width="12.6640625" style="261" bestFit="1" customWidth="1"/>
    <col min="11278" max="11278" width="14.109375" style="261" bestFit="1" customWidth="1"/>
    <col min="11279" max="11279" width="8.88671875" style="261"/>
    <col min="11280" max="11280" width="15.88671875" style="261" customWidth="1"/>
    <col min="11281" max="11520" width="8.88671875" style="261"/>
    <col min="11521" max="11521" width="8.6640625" style="261" customWidth="1"/>
    <col min="11522" max="11522" width="7.88671875" style="261" customWidth="1"/>
    <col min="11523" max="11523" width="19.109375" style="261" bestFit="1" customWidth="1"/>
    <col min="11524" max="11525" width="13.77734375" style="261" customWidth="1"/>
    <col min="11526" max="11526" width="0" style="261" hidden="1" customWidth="1"/>
    <col min="11527" max="11527" width="13.77734375" style="261" customWidth="1"/>
    <col min="11528" max="11528" width="62.44140625" style="261" bestFit="1" customWidth="1"/>
    <col min="11529" max="11529" width="10.6640625" style="261" customWidth="1"/>
    <col min="11530" max="11530" width="20.109375" style="261" customWidth="1"/>
    <col min="11531" max="11531" width="13.88671875" style="261" bestFit="1" customWidth="1"/>
    <col min="11532" max="11532" width="12.6640625" style="261" customWidth="1"/>
    <col min="11533" max="11533" width="12.6640625" style="261" bestFit="1" customWidth="1"/>
    <col min="11534" max="11534" width="14.109375" style="261" bestFit="1" customWidth="1"/>
    <col min="11535" max="11535" width="8.88671875" style="261"/>
    <col min="11536" max="11536" width="15.88671875" style="261" customWidth="1"/>
    <col min="11537" max="11776" width="8.88671875" style="261"/>
    <col min="11777" max="11777" width="8.6640625" style="261" customWidth="1"/>
    <col min="11778" max="11778" width="7.88671875" style="261" customWidth="1"/>
    <col min="11779" max="11779" width="19.109375" style="261" bestFit="1" customWidth="1"/>
    <col min="11780" max="11781" width="13.77734375" style="261" customWidth="1"/>
    <col min="11782" max="11782" width="0" style="261" hidden="1" customWidth="1"/>
    <col min="11783" max="11783" width="13.77734375" style="261" customWidth="1"/>
    <col min="11784" max="11784" width="62.44140625" style="261" bestFit="1" customWidth="1"/>
    <col min="11785" max="11785" width="10.6640625" style="261" customWidth="1"/>
    <col min="11786" max="11786" width="20.109375" style="261" customWidth="1"/>
    <col min="11787" max="11787" width="13.88671875" style="261" bestFit="1" customWidth="1"/>
    <col min="11788" max="11788" width="12.6640625" style="261" customWidth="1"/>
    <col min="11789" max="11789" width="12.6640625" style="261" bestFit="1" customWidth="1"/>
    <col min="11790" max="11790" width="14.109375" style="261" bestFit="1" customWidth="1"/>
    <col min="11791" max="11791" width="8.88671875" style="261"/>
    <col min="11792" max="11792" width="15.88671875" style="261" customWidth="1"/>
    <col min="11793" max="12032" width="8.88671875" style="261"/>
    <col min="12033" max="12033" width="8.6640625" style="261" customWidth="1"/>
    <col min="12034" max="12034" width="7.88671875" style="261" customWidth="1"/>
    <col min="12035" max="12035" width="19.109375" style="261" bestFit="1" customWidth="1"/>
    <col min="12036" max="12037" width="13.77734375" style="261" customWidth="1"/>
    <col min="12038" max="12038" width="0" style="261" hidden="1" customWidth="1"/>
    <col min="12039" max="12039" width="13.77734375" style="261" customWidth="1"/>
    <col min="12040" max="12040" width="62.44140625" style="261" bestFit="1" customWidth="1"/>
    <col min="12041" max="12041" width="10.6640625" style="261" customWidth="1"/>
    <col min="12042" max="12042" width="20.109375" style="261" customWidth="1"/>
    <col min="12043" max="12043" width="13.88671875" style="261" bestFit="1" customWidth="1"/>
    <col min="12044" max="12044" width="12.6640625" style="261" customWidth="1"/>
    <col min="12045" max="12045" width="12.6640625" style="261" bestFit="1" customWidth="1"/>
    <col min="12046" max="12046" width="14.109375" style="261" bestFit="1" customWidth="1"/>
    <col min="12047" max="12047" width="8.88671875" style="261"/>
    <col min="12048" max="12048" width="15.88671875" style="261" customWidth="1"/>
    <col min="12049" max="12288" width="8.88671875" style="261"/>
    <col min="12289" max="12289" width="8.6640625" style="261" customWidth="1"/>
    <col min="12290" max="12290" width="7.88671875" style="261" customWidth="1"/>
    <col min="12291" max="12291" width="19.109375" style="261" bestFit="1" customWidth="1"/>
    <col min="12292" max="12293" width="13.77734375" style="261" customWidth="1"/>
    <col min="12294" max="12294" width="0" style="261" hidden="1" customWidth="1"/>
    <col min="12295" max="12295" width="13.77734375" style="261" customWidth="1"/>
    <col min="12296" max="12296" width="62.44140625" style="261" bestFit="1" customWidth="1"/>
    <col min="12297" max="12297" width="10.6640625" style="261" customWidth="1"/>
    <col min="12298" max="12298" width="20.109375" style="261" customWidth="1"/>
    <col min="12299" max="12299" width="13.88671875" style="261" bestFit="1" customWidth="1"/>
    <col min="12300" max="12300" width="12.6640625" style="261" customWidth="1"/>
    <col min="12301" max="12301" width="12.6640625" style="261" bestFit="1" customWidth="1"/>
    <col min="12302" max="12302" width="14.109375" style="261" bestFit="1" customWidth="1"/>
    <col min="12303" max="12303" width="8.88671875" style="261"/>
    <col min="12304" max="12304" width="15.88671875" style="261" customWidth="1"/>
    <col min="12305" max="12544" width="8.88671875" style="261"/>
    <col min="12545" max="12545" width="8.6640625" style="261" customWidth="1"/>
    <col min="12546" max="12546" width="7.88671875" style="261" customWidth="1"/>
    <col min="12547" max="12547" width="19.109375" style="261" bestFit="1" customWidth="1"/>
    <col min="12548" max="12549" width="13.77734375" style="261" customWidth="1"/>
    <col min="12550" max="12550" width="0" style="261" hidden="1" customWidth="1"/>
    <col min="12551" max="12551" width="13.77734375" style="261" customWidth="1"/>
    <col min="12552" max="12552" width="62.44140625" style="261" bestFit="1" customWidth="1"/>
    <col min="12553" max="12553" width="10.6640625" style="261" customWidth="1"/>
    <col min="12554" max="12554" width="20.109375" style="261" customWidth="1"/>
    <col min="12555" max="12555" width="13.88671875" style="261" bestFit="1" customWidth="1"/>
    <col min="12556" max="12556" width="12.6640625" style="261" customWidth="1"/>
    <col min="12557" max="12557" width="12.6640625" style="261" bestFit="1" customWidth="1"/>
    <col min="12558" max="12558" width="14.109375" style="261" bestFit="1" customWidth="1"/>
    <col min="12559" max="12559" width="8.88671875" style="261"/>
    <col min="12560" max="12560" width="15.88671875" style="261" customWidth="1"/>
    <col min="12561" max="12800" width="8.88671875" style="261"/>
    <col min="12801" max="12801" width="8.6640625" style="261" customWidth="1"/>
    <col min="12802" max="12802" width="7.88671875" style="261" customWidth="1"/>
    <col min="12803" max="12803" width="19.109375" style="261" bestFit="1" customWidth="1"/>
    <col min="12804" max="12805" width="13.77734375" style="261" customWidth="1"/>
    <col min="12806" max="12806" width="0" style="261" hidden="1" customWidth="1"/>
    <col min="12807" max="12807" width="13.77734375" style="261" customWidth="1"/>
    <col min="12808" max="12808" width="62.44140625" style="261" bestFit="1" customWidth="1"/>
    <col min="12809" max="12809" width="10.6640625" style="261" customWidth="1"/>
    <col min="12810" max="12810" width="20.109375" style="261" customWidth="1"/>
    <col min="12811" max="12811" width="13.88671875" style="261" bestFit="1" customWidth="1"/>
    <col min="12812" max="12812" width="12.6640625" style="261" customWidth="1"/>
    <col min="12813" max="12813" width="12.6640625" style="261" bestFit="1" customWidth="1"/>
    <col min="12814" max="12814" width="14.109375" style="261" bestFit="1" customWidth="1"/>
    <col min="12815" max="12815" width="8.88671875" style="261"/>
    <col min="12816" max="12816" width="15.88671875" style="261" customWidth="1"/>
    <col min="12817" max="13056" width="8.88671875" style="261"/>
    <col min="13057" max="13057" width="8.6640625" style="261" customWidth="1"/>
    <col min="13058" max="13058" width="7.88671875" style="261" customWidth="1"/>
    <col min="13059" max="13059" width="19.109375" style="261" bestFit="1" customWidth="1"/>
    <col min="13060" max="13061" width="13.77734375" style="261" customWidth="1"/>
    <col min="13062" max="13062" width="0" style="261" hidden="1" customWidth="1"/>
    <col min="13063" max="13063" width="13.77734375" style="261" customWidth="1"/>
    <col min="13064" max="13064" width="62.44140625" style="261" bestFit="1" customWidth="1"/>
    <col min="13065" max="13065" width="10.6640625" style="261" customWidth="1"/>
    <col min="13066" max="13066" width="20.109375" style="261" customWidth="1"/>
    <col min="13067" max="13067" width="13.88671875" style="261" bestFit="1" customWidth="1"/>
    <col min="13068" max="13068" width="12.6640625" style="261" customWidth="1"/>
    <col min="13069" max="13069" width="12.6640625" style="261" bestFit="1" customWidth="1"/>
    <col min="13070" max="13070" width="14.109375" style="261" bestFit="1" customWidth="1"/>
    <col min="13071" max="13071" width="8.88671875" style="261"/>
    <col min="13072" max="13072" width="15.88671875" style="261" customWidth="1"/>
    <col min="13073" max="13312" width="8.88671875" style="261"/>
    <col min="13313" max="13313" width="8.6640625" style="261" customWidth="1"/>
    <col min="13314" max="13314" width="7.88671875" style="261" customWidth="1"/>
    <col min="13315" max="13315" width="19.109375" style="261" bestFit="1" customWidth="1"/>
    <col min="13316" max="13317" width="13.77734375" style="261" customWidth="1"/>
    <col min="13318" max="13318" width="0" style="261" hidden="1" customWidth="1"/>
    <col min="13319" max="13319" width="13.77734375" style="261" customWidth="1"/>
    <col min="13320" max="13320" width="62.44140625" style="261" bestFit="1" customWidth="1"/>
    <col min="13321" max="13321" width="10.6640625" style="261" customWidth="1"/>
    <col min="13322" max="13322" width="20.109375" style="261" customWidth="1"/>
    <col min="13323" max="13323" width="13.88671875" style="261" bestFit="1" customWidth="1"/>
    <col min="13324" max="13324" width="12.6640625" style="261" customWidth="1"/>
    <col min="13325" max="13325" width="12.6640625" style="261" bestFit="1" customWidth="1"/>
    <col min="13326" max="13326" width="14.109375" style="261" bestFit="1" customWidth="1"/>
    <col min="13327" max="13327" width="8.88671875" style="261"/>
    <col min="13328" max="13328" width="15.88671875" style="261" customWidth="1"/>
    <col min="13329" max="13568" width="8.88671875" style="261"/>
    <col min="13569" max="13569" width="8.6640625" style="261" customWidth="1"/>
    <col min="13570" max="13570" width="7.88671875" style="261" customWidth="1"/>
    <col min="13571" max="13571" width="19.109375" style="261" bestFit="1" customWidth="1"/>
    <col min="13572" max="13573" width="13.77734375" style="261" customWidth="1"/>
    <col min="13574" max="13574" width="0" style="261" hidden="1" customWidth="1"/>
    <col min="13575" max="13575" width="13.77734375" style="261" customWidth="1"/>
    <col min="13576" max="13576" width="62.44140625" style="261" bestFit="1" customWidth="1"/>
    <col min="13577" max="13577" width="10.6640625" style="261" customWidth="1"/>
    <col min="13578" max="13578" width="20.109375" style="261" customWidth="1"/>
    <col min="13579" max="13579" width="13.88671875" style="261" bestFit="1" customWidth="1"/>
    <col min="13580" max="13580" width="12.6640625" style="261" customWidth="1"/>
    <col min="13581" max="13581" width="12.6640625" style="261" bestFit="1" customWidth="1"/>
    <col min="13582" max="13582" width="14.109375" style="261" bestFit="1" customWidth="1"/>
    <col min="13583" max="13583" width="8.88671875" style="261"/>
    <col min="13584" max="13584" width="15.88671875" style="261" customWidth="1"/>
    <col min="13585" max="13824" width="8.88671875" style="261"/>
    <col min="13825" max="13825" width="8.6640625" style="261" customWidth="1"/>
    <col min="13826" max="13826" width="7.88671875" style="261" customWidth="1"/>
    <col min="13827" max="13827" width="19.109375" style="261" bestFit="1" customWidth="1"/>
    <col min="13828" max="13829" width="13.77734375" style="261" customWidth="1"/>
    <col min="13830" max="13830" width="0" style="261" hidden="1" customWidth="1"/>
    <col min="13831" max="13831" width="13.77734375" style="261" customWidth="1"/>
    <col min="13832" max="13832" width="62.44140625" style="261" bestFit="1" customWidth="1"/>
    <col min="13833" max="13833" width="10.6640625" style="261" customWidth="1"/>
    <col min="13834" max="13834" width="20.109375" style="261" customWidth="1"/>
    <col min="13835" max="13835" width="13.88671875" style="261" bestFit="1" customWidth="1"/>
    <col min="13836" max="13836" width="12.6640625" style="261" customWidth="1"/>
    <col min="13837" max="13837" width="12.6640625" style="261" bestFit="1" customWidth="1"/>
    <col min="13838" max="13838" width="14.109375" style="261" bestFit="1" customWidth="1"/>
    <col min="13839" max="13839" width="8.88671875" style="261"/>
    <col min="13840" max="13840" width="15.88671875" style="261" customWidth="1"/>
    <col min="13841" max="14080" width="8.88671875" style="261"/>
    <col min="14081" max="14081" width="8.6640625" style="261" customWidth="1"/>
    <col min="14082" max="14082" width="7.88671875" style="261" customWidth="1"/>
    <col min="14083" max="14083" width="19.109375" style="261" bestFit="1" customWidth="1"/>
    <col min="14084" max="14085" width="13.77734375" style="261" customWidth="1"/>
    <col min="14086" max="14086" width="0" style="261" hidden="1" customWidth="1"/>
    <col min="14087" max="14087" width="13.77734375" style="261" customWidth="1"/>
    <col min="14088" max="14088" width="62.44140625" style="261" bestFit="1" customWidth="1"/>
    <col min="14089" max="14089" width="10.6640625" style="261" customWidth="1"/>
    <col min="14090" max="14090" width="20.109375" style="261" customWidth="1"/>
    <col min="14091" max="14091" width="13.88671875" style="261" bestFit="1" customWidth="1"/>
    <col min="14092" max="14092" width="12.6640625" style="261" customWidth="1"/>
    <col min="14093" max="14093" width="12.6640625" style="261" bestFit="1" customWidth="1"/>
    <col min="14094" max="14094" width="14.109375" style="261" bestFit="1" customWidth="1"/>
    <col min="14095" max="14095" width="8.88671875" style="261"/>
    <col min="14096" max="14096" width="15.88671875" style="261" customWidth="1"/>
    <col min="14097" max="14336" width="8.88671875" style="261"/>
    <col min="14337" max="14337" width="8.6640625" style="261" customWidth="1"/>
    <col min="14338" max="14338" width="7.88671875" style="261" customWidth="1"/>
    <col min="14339" max="14339" width="19.109375" style="261" bestFit="1" customWidth="1"/>
    <col min="14340" max="14341" width="13.77734375" style="261" customWidth="1"/>
    <col min="14342" max="14342" width="0" style="261" hidden="1" customWidth="1"/>
    <col min="14343" max="14343" width="13.77734375" style="261" customWidth="1"/>
    <col min="14344" max="14344" width="62.44140625" style="261" bestFit="1" customWidth="1"/>
    <col min="14345" max="14345" width="10.6640625" style="261" customWidth="1"/>
    <col min="14346" max="14346" width="20.109375" style="261" customWidth="1"/>
    <col min="14347" max="14347" width="13.88671875" style="261" bestFit="1" customWidth="1"/>
    <col min="14348" max="14348" width="12.6640625" style="261" customWidth="1"/>
    <col min="14349" max="14349" width="12.6640625" style="261" bestFit="1" customWidth="1"/>
    <col min="14350" max="14350" width="14.109375" style="261" bestFit="1" customWidth="1"/>
    <col min="14351" max="14351" width="8.88671875" style="261"/>
    <col min="14352" max="14352" width="15.88671875" style="261" customWidth="1"/>
    <col min="14353" max="14592" width="8.88671875" style="261"/>
    <col min="14593" max="14593" width="8.6640625" style="261" customWidth="1"/>
    <col min="14594" max="14594" width="7.88671875" style="261" customWidth="1"/>
    <col min="14595" max="14595" width="19.109375" style="261" bestFit="1" customWidth="1"/>
    <col min="14596" max="14597" width="13.77734375" style="261" customWidth="1"/>
    <col min="14598" max="14598" width="0" style="261" hidden="1" customWidth="1"/>
    <col min="14599" max="14599" width="13.77734375" style="261" customWidth="1"/>
    <col min="14600" max="14600" width="62.44140625" style="261" bestFit="1" customWidth="1"/>
    <col min="14601" max="14601" width="10.6640625" style="261" customWidth="1"/>
    <col min="14602" max="14602" width="20.109375" style="261" customWidth="1"/>
    <col min="14603" max="14603" width="13.88671875" style="261" bestFit="1" customWidth="1"/>
    <col min="14604" max="14604" width="12.6640625" style="261" customWidth="1"/>
    <col min="14605" max="14605" width="12.6640625" style="261" bestFit="1" customWidth="1"/>
    <col min="14606" max="14606" width="14.109375" style="261" bestFit="1" customWidth="1"/>
    <col min="14607" max="14607" width="8.88671875" style="261"/>
    <col min="14608" max="14608" width="15.88671875" style="261" customWidth="1"/>
    <col min="14609" max="14848" width="8.88671875" style="261"/>
    <col min="14849" max="14849" width="8.6640625" style="261" customWidth="1"/>
    <col min="14850" max="14850" width="7.88671875" style="261" customWidth="1"/>
    <col min="14851" max="14851" width="19.109375" style="261" bestFit="1" customWidth="1"/>
    <col min="14852" max="14853" width="13.77734375" style="261" customWidth="1"/>
    <col min="14854" max="14854" width="0" style="261" hidden="1" customWidth="1"/>
    <col min="14855" max="14855" width="13.77734375" style="261" customWidth="1"/>
    <col min="14856" max="14856" width="62.44140625" style="261" bestFit="1" customWidth="1"/>
    <col min="14857" max="14857" width="10.6640625" style="261" customWidth="1"/>
    <col min="14858" max="14858" width="20.109375" style="261" customWidth="1"/>
    <col min="14859" max="14859" width="13.88671875" style="261" bestFit="1" customWidth="1"/>
    <col min="14860" max="14860" width="12.6640625" style="261" customWidth="1"/>
    <col min="14861" max="14861" width="12.6640625" style="261" bestFit="1" customWidth="1"/>
    <col min="14862" max="14862" width="14.109375" style="261" bestFit="1" customWidth="1"/>
    <col min="14863" max="14863" width="8.88671875" style="261"/>
    <col min="14864" max="14864" width="15.88671875" style="261" customWidth="1"/>
    <col min="14865" max="15104" width="8.88671875" style="261"/>
    <col min="15105" max="15105" width="8.6640625" style="261" customWidth="1"/>
    <col min="15106" max="15106" width="7.88671875" style="261" customWidth="1"/>
    <col min="15107" max="15107" width="19.109375" style="261" bestFit="1" customWidth="1"/>
    <col min="15108" max="15109" width="13.77734375" style="261" customWidth="1"/>
    <col min="15110" max="15110" width="0" style="261" hidden="1" customWidth="1"/>
    <col min="15111" max="15111" width="13.77734375" style="261" customWidth="1"/>
    <col min="15112" max="15112" width="62.44140625" style="261" bestFit="1" customWidth="1"/>
    <col min="15113" max="15113" width="10.6640625" style="261" customWidth="1"/>
    <col min="15114" max="15114" width="20.109375" style="261" customWidth="1"/>
    <col min="15115" max="15115" width="13.88671875" style="261" bestFit="1" customWidth="1"/>
    <col min="15116" max="15116" width="12.6640625" style="261" customWidth="1"/>
    <col min="15117" max="15117" width="12.6640625" style="261" bestFit="1" customWidth="1"/>
    <col min="15118" max="15118" width="14.109375" style="261" bestFit="1" customWidth="1"/>
    <col min="15119" max="15119" width="8.88671875" style="261"/>
    <col min="15120" max="15120" width="15.88671875" style="261" customWidth="1"/>
    <col min="15121" max="15360" width="8.88671875" style="261"/>
    <col min="15361" max="15361" width="8.6640625" style="261" customWidth="1"/>
    <col min="15362" max="15362" width="7.88671875" style="261" customWidth="1"/>
    <col min="15363" max="15363" width="19.109375" style="261" bestFit="1" customWidth="1"/>
    <col min="15364" max="15365" width="13.77734375" style="261" customWidth="1"/>
    <col min="15366" max="15366" width="0" style="261" hidden="1" customWidth="1"/>
    <col min="15367" max="15367" width="13.77734375" style="261" customWidth="1"/>
    <col min="15368" max="15368" width="62.44140625" style="261" bestFit="1" customWidth="1"/>
    <col min="15369" max="15369" width="10.6640625" style="261" customWidth="1"/>
    <col min="15370" max="15370" width="20.109375" style="261" customWidth="1"/>
    <col min="15371" max="15371" width="13.88671875" style="261" bestFit="1" customWidth="1"/>
    <col min="15372" max="15372" width="12.6640625" style="261" customWidth="1"/>
    <col min="15373" max="15373" width="12.6640625" style="261" bestFit="1" customWidth="1"/>
    <col min="15374" max="15374" width="14.109375" style="261" bestFit="1" customWidth="1"/>
    <col min="15375" max="15375" width="8.88671875" style="261"/>
    <col min="15376" max="15376" width="15.88671875" style="261" customWidth="1"/>
    <col min="15377" max="15616" width="8.88671875" style="261"/>
    <col min="15617" max="15617" width="8.6640625" style="261" customWidth="1"/>
    <col min="15618" max="15618" width="7.88671875" style="261" customWidth="1"/>
    <col min="15619" max="15619" width="19.109375" style="261" bestFit="1" customWidth="1"/>
    <col min="15620" max="15621" width="13.77734375" style="261" customWidth="1"/>
    <col min="15622" max="15622" width="0" style="261" hidden="1" customWidth="1"/>
    <col min="15623" max="15623" width="13.77734375" style="261" customWidth="1"/>
    <col min="15624" max="15624" width="62.44140625" style="261" bestFit="1" customWidth="1"/>
    <col min="15625" max="15625" width="10.6640625" style="261" customWidth="1"/>
    <col min="15626" max="15626" width="20.109375" style="261" customWidth="1"/>
    <col min="15627" max="15627" width="13.88671875" style="261" bestFit="1" customWidth="1"/>
    <col min="15628" max="15628" width="12.6640625" style="261" customWidth="1"/>
    <col min="15629" max="15629" width="12.6640625" style="261" bestFit="1" customWidth="1"/>
    <col min="15630" max="15630" width="14.109375" style="261" bestFit="1" customWidth="1"/>
    <col min="15631" max="15631" width="8.88671875" style="261"/>
    <col min="15632" max="15632" width="15.88671875" style="261" customWidth="1"/>
    <col min="15633" max="15872" width="8.88671875" style="261"/>
    <col min="15873" max="15873" width="8.6640625" style="261" customWidth="1"/>
    <col min="15874" max="15874" width="7.88671875" style="261" customWidth="1"/>
    <col min="15875" max="15875" width="19.109375" style="261" bestFit="1" customWidth="1"/>
    <col min="15876" max="15877" width="13.77734375" style="261" customWidth="1"/>
    <col min="15878" max="15878" width="0" style="261" hidden="1" customWidth="1"/>
    <col min="15879" max="15879" width="13.77734375" style="261" customWidth="1"/>
    <col min="15880" max="15880" width="62.44140625" style="261" bestFit="1" customWidth="1"/>
    <col min="15881" max="15881" width="10.6640625" style="261" customWidth="1"/>
    <col min="15882" max="15882" width="20.109375" style="261" customWidth="1"/>
    <col min="15883" max="15883" width="13.88671875" style="261" bestFit="1" customWidth="1"/>
    <col min="15884" max="15884" width="12.6640625" style="261" customWidth="1"/>
    <col min="15885" max="15885" width="12.6640625" style="261" bestFit="1" customWidth="1"/>
    <col min="15886" max="15886" width="14.109375" style="261" bestFit="1" customWidth="1"/>
    <col min="15887" max="15887" width="8.88671875" style="261"/>
    <col min="15888" max="15888" width="15.88671875" style="261" customWidth="1"/>
    <col min="15889" max="16128" width="8.88671875" style="261"/>
    <col min="16129" max="16129" width="8.6640625" style="261" customWidth="1"/>
    <col min="16130" max="16130" width="7.88671875" style="261" customWidth="1"/>
    <col min="16131" max="16131" width="19.109375" style="261" bestFit="1" customWidth="1"/>
    <col min="16132" max="16133" width="13.77734375" style="261" customWidth="1"/>
    <col min="16134" max="16134" width="0" style="261" hidden="1" customWidth="1"/>
    <col min="16135" max="16135" width="13.77734375" style="261" customWidth="1"/>
    <col min="16136" max="16136" width="62.44140625" style="261" bestFit="1" customWidth="1"/>
    <col min="16137" max="16137" width="10.6640625" style="261" customWidth="1"/>
    <col min="16138" max="16138" width="20.109375" style="261" customWidth="1"/>
    <col min="16139" max="16139" width="13.88671875" style="261" bestFit="1" customWidth="1"/>
    <col min="16140" max="16140" width="12.6640625" style="261" customWidth="1"/>
    <col min="16141" max="16141" width="12.6640625" style="261" bestFit="1" customWidth="1"/>
    <col min="16142" max="16142" width="14.109375" style="261" bestFit="1" customWidth="1"/>
    <col min="16143" max="16143" width="8.88671875" style="261"/>
    <col min="16144" max="16144" width="15.88671875" style="261" customWidth="1"/>
    <col min="16145" max="16384" width="8.88671875" style="261"/>
  </cols>
  <sheetData>
    <row r="1" spans="1:11" ht="30.75" customHeight="1">
      <c r="A1" s="1241" t="s">
        <v>360</v>
      </c>
      <c r="B1" s="1241"/>
      <c r="C1" s="1241"/>
      <c r="D1" s="1241"/>
      <c r="E1" s="1241"/>
      <c r="F1" s="1241"/>
      <c r="G1" s="1241"/>
      <c r="H1" s="1241"/>
      <c r="I1" s="1241"/>
      <c r="J1" s="1241"/>
      <c r="K1" s="1241"/>
    </row>
    <row r="2" spans="1:11" ht="19.5" customHeight="1" thickBot="1">
      <c r="A2" s="1242" t="s">
        <v>254</v>
      </c>
      <c r="B2" s="1242"/>
      <c r="C2" s="1242"/>
      <c r="D2" s="1242"/>
      <c r="E2" s="1242"/>
      <c r="F2" s="1242"/>
      <c r="G2" s="1242"/>
      <c r="H2" s="1242"/>
      <c r="I2" s="1242"/>
      <c r="J2" s="1242"/>
      <c r="K2" s="1242"/>
    </row>
    <row r="3" spans="1:11" ht="14.25" thickBot="1">
      <c r="A3" s="1243" t="s">
        <v>31</v>
      </c>
      <c r="B3" s="1243"/>
      <c r="C3" s="1243"/>
      <c r="D3" s="1244" t="s">
        <v>255</v>
      </c>
      <c r="E3" s="1244" t="s">
        <v>256</v>
      </c>
      <c r="F3" s="1244" t="s">
        <v>257</v>
      </c>
      <c r="G3" s="1244" t="s">
        <v>258</v>
      </c>
      <c r="H3" s="1246" t="s">
        <v>32</v>
      </c>
      <c r="I3" s="1247"/>
      <c r="J3" s="1248"/>
      <c r="K3" s="1252" t="s">
        <v>37</v>
      </c>
    </row>
    <row r="4" spans="1:11" ht="14.25" thickBot="1">
      <c r="A4" s="521" t="s">
        <v>38</v>
      </c>
      <c r="B4" s="521" t="s">
        <v>39</v>
      </c>
      <c r="C4" s="262" t="s">
        <v>40</v>
      </c>
      <c r="D4" s="1245"/>
      <c r="E4" s="1245"/>
      <c r="F4" s="1245"/>
      <c r="G4" s="1245"/>
      <c r="H4" s="1249"/>
      <c r="I4" s="1250"/>
      <c r="J4" s="1251"/>
      <c r="K4" s="1253"/>
    </row>
    <row r="5" spans="1:11" ht="14.25" thickBot="1">
      <c r="A5" s="1230" t="s">
        <v>41</v>
      </c>
      <c r="B5" s="1231"/>
      <c r="C5" s="1232"/>
      <c r="D5" s="263">
        <f>D10+D145+D149+D155+D166+D167+D168+D169+D6+D165</f>
        <v>1741310303</v>
      </c>
      <c r="E5" s="264">
        <f>E10+E145+E149+E157+E166+E167+E168+E169+E6+E165</f>
        <v>1784525059</v>
      </c>
      <c r="F5" s="264"/>
      <c r="G5" s="265">
        <f t="shared" ref="G5:G12" si="0">E5-D5</f>
        <v>43214756</v>
      </c>
      <c r="H5" s="266"/>
      <c r="I5" s="267"/>
      <c r="J5" s="267"/>
      <c r="K5" s="264">
        <f>K10+K145+K149+K157+K166+K167+K168+K169+K6+K165</f>
        <v>1784525059</v>
      </c>
    </row>
    <row r="6" spans="1:11">
      <c r="A6" s="426" t="s">
        <v>137</v>
      </c>
      <c r="B6" s="427"/>
      <c r="C6" s="428"/>
      <c r="D6" s="268">
        <f>D7</f>
        <v>7000000</v>
      </c>
      <c r="E6" s="268">
        <f>E7</f>
        <v>7000000</v>
      </c>
      <c r="F6" s="268"/>
      <c r="G6" s="269">
        <f t="shared" si="0"/>
        <v>0</v>
      </c>
      <c r="H6" s="270"/>
      <c r="I6" s="271"/>
      <c r="J6" s="271"/>
      <c r="K6" s="269">
        <f>K7</f>
        <v>7000000</v>
      </c>
    </row>
    <row r="7" spans="1:11" ht="14.25" thickBot="1">
      <c r="A7" s="429"/>
      <c r="B7" s="430" t="s">
        <v>137</v>
      </c>
      <c r="C7" s="430"/>
      <c r="D7" s="272">
        <f>D8+D9</f>
        <v>7000000</v>
      </c>
      <c r="E7" s="272">
        <f>E8+E9</f>
        <v>7000000</v>
      </c>
      <c r="F7" s="272"/>
      <c r="G7" s="273">
        <f t="shared" si="0"/>
        <v>0</v>
      </c>
      <c r="H7" s="274"/>
      <c r="I7" s="275"/>
      <c r="J7" s="275"/>
      <c r="K7" s="273">
        <f>K8+K9</f>
        <v>7000000</v>
      </c>
    </row>
    <row r="8" spans="1:11">
      <c r="A8" s="393"/>
      <c r="B8" s="392"/>
      <c r="C8" s="431" t="s">
        <v>138</v>
      </c>
      <c r="D8" s="276">
        <v>5000000</v>
      </c>
      <c r="E8" s="276">
        <f>K8</f>
        <v>5000000</v>
      </c>
      <c r="F8" s="276"/>
      <c r="G8" s="277">
        <f t="shared" si="0"/>
        <v>0</v>
      </c>
      <c r="H8" s="1233"/>
      <c r="I8" s="1234"/>
      <c r="J8" s="1234"/>
      <c r="K8" s="278">
        <v>5000000</v>
      </c>
    </row>
    <row r="9" spans="1:11" ht="14.25" thickBot="1">
      <c r="A9" s="393"/>
      <c r="B9" s="432"/>
      <c r="C9" s="430" t="s">
        <v>139</v>
      </c>
      <c r="D9" s="272">
        <v>2000000</v>
      </c>
      <c r="E9" s="272">
        <f>K9</f>
        <v>2000000</v>
      </c>
      <c r="F9" s="272"/>
      <c r="G9" s="273">
        <f t="shared" si="0"/>
        <v>0</v>
      </c>
      <c r="H9" s="279"/>
      <c r="I9" s="280"/>
      <c r="J9" s="280"/>
      <c r="K9" s="281">
        <v>2000000</v>
      </c>
    </row>
    <row r="10" spans="1:11" ht="14.25" thickBot="1">
      <c r="A10" s="269" t="s">
        <v>33</v>
      </c>
      <c r="B10" s="269"/>
      <c r="C10" s="269" t="s">
        <v>42</v>
      </c>
      <c r="D10" s="268">
        <f>D11</f>
        <v>1619187760</v>
      </c>
      <c r="E10" s="268">
        <f>E11</f>
        <v>1656584030</v>
      </c>
      <c r="F10" s="268"/>
      <c r="G10" s="282">
        <f t="shared" si="0"/>
        <v>37396270</v>
      </c>
      <c r="H10" s="283"/>
      <c r="I10" s="284"/>
      <c r="J10" s="284"/>
      <c r="K10" s="285">
        <f>K11</f>
        <v>1656584030</v>
      </c>
    </row>
    <row r="11" spans="1:11" ht="14.25" thickBot="1">
      <c r="A11" s="286"/>
      <c r="B11" s="273" t="s">
        <v>33</v>
      </c>
      <c r="C11" s="287"/>
      <c r="D11" s="288">
        <f>D12+D31+D120+D125+D127+D131+D133+D135+D164+D159+D102</f>
        <v>1619187760</v>
      </c>
      <c r="E11" s="288">
        <f>E12+E31+E120+E125+E127+E131+E133+E135+E164+E159+E102</f>
        <v>1656584030</v>
      </c>
      <c r="F11" s="288"/>
      <c r="G11" s="289">
        <f t="shared" si="0"/>
        <v>37396270</v>
      </c>
      <c r="H11" s="290"/>
      <c r="I11" s="291"/>
      <c r="J11" s="291"/>
      <c r="K11" s="292">
        <f>K13+K31+K120+K125+K127+K131+K133+K135+K164+K159+K102</f>
        <v>1656584030</v>
      </c>
    </row>
    <row r="12" spans="1:11" ht="14.25" thickBot="1">
      <c r="A12" s="286"/>
      <c r="B12" s="286"/>
      <c r="C12" s="282" t="s">
        <v>44</v>
      </c>
      <c r="D12" s="293">
        <v>525527000</v>
      </c>
      <c r="E12" s="293">
        <f>K13</f>
        <v>529729000</v>
      </c>
      <c r="F12" s="294"/>
      <c r="G12" s="294">
        <f t="shared" si="0"/>
        <v>4202000</v>
      </c>
      <c r="H12" s="1209" t="s">
        <v>44</v>
      </c>
      <c r="I12" s="1210"/>
      <c r="J12" s="1235"/>
      <c r="K12" s="295">
        <f>K13+K31</f>
        <v>668268200</v>
      </c>
    </row>
    <row r="13" spans="1:11" ht="14.25" thickBot="1">
      <c r="A13" s="286"/>
      <c r="B13" s="286"/>
      <c r="C13" s="296"/>
      <c r="D13" s="297"/>
      <c r="E13" s="298"/>
      <c r="F13" s="297"/>
      <c r="G13" s="297"/>
      <c r="H13" s="294" t="s">
        <v>3</v>
      </c>
      <c r="I13" s="299"/>
      <c r="J13" s="300"/>
      <c r="K13" s="301">
        <f>SUM(K14:K30)</f>
        <v>529729000</v>
      </c>
    </row>
    <row r="14" spans="1:11" ht="24.95" customHeight="1">
      <c r="A14" s="286"/>
      <c r="B14" s="286"/>
      <c r="C14" s="296"/>
      <c r="D14" s="297"/>
      <c r="E14" s="286"/>
      <c r="F14" s="297"/>
      <c r="G14" s="297"/>
      <c r="H14" s="302" t="s">
        <v>420</v>
      </c>
      <c r="I14" s="303" t="s">
        <v>261</v>
      </c>
      <c r="J14" s="304" t="s">
        <v>277</v>
      </c>
      <c r="K14" s="305">
        <v>59468000</v>
      </c>
    </row>
    <row r="15" spans="1:11" ht="24.95" customHeight="1">
      <c r="A15" s="286"/>
      <c r="B15" s="286"/>
      <c r="C15" s="296"/>
      <c r="D15" s="297"/>
      <c r="E15" s="286"/>
      <c r="F15" s="297"/>
      <c r="G15" s="297"/>
      <c r="H15" s="306" t="s">
        <v>421</v>
      </c>
      <c r="I15" s="307" t="s">
        <v>262</v>
      </c>
      <c r="J15" s="304" t="s">
        <v>278</v>
      </c>
      <c r="K15" s="308">
        <v>51636000</v>
      </c>
    </row>
    <row r="16" spans="1:11" ht="24.95" customHeight="1">
      <c r="A16" s="286"/>
      <c r="B16" s="286"/>
      <c r="C16" s="296"/>
      <c r="D16" s="297"/>
      <c r="E16" s="286"/>
      <c r="F16" s="297"/>
      <c r="G16" s="297"/>
      <c r="H16" s="306" t="s">
        <v>422</v>
      </c>
      <c r="I16" s="307" t="s">
        <v>263</v>
      </c>
      <c r="J16" s="304" t="s">
        <v>279</v>
      </c>
      <c r="K16" s="308">
        <v>45210000</v>
      </c>
    </row>
    <row r="17" spans="1:11" ht="24.95" customHeight="1">
      <c r="A17" s="286"/>
      <c r="B17" s="286"/>
      <c r="C17" s="296"/>
      <c r="D17" s="297"/>
      <c r="E17" s="286"/>
      <c r="F17" s="297"/>
      <c r="G17" s="297"/>
      <c r="H17" s="306" t="s">
        <v>423</v>
      </c>
      <c r="I17" s="307" t="s">
        <v>264</v>
      </c>
      <c r="J17" s="304" t="s">
        <v>280</v>
      </c>
      <c r="K17" s="308">
        <v>41972000</v>
      </c>
    </row>
    <row r="18" spans="1:11" ht="24.95" customHeight="1">
      <c r="A18" s="286"/>
      <c r="B18" s="286"/>
      <c r="C18" s="296"/>
      <c r="D18" s="297"/>
      <c r="E18" s="286"/>
      <c r="F18" s="297"/>
      <c r="G18" s="297"/>
      <c r="H18" s="306" t="s">
        <v>424</v>
      </c>
      <c r="I18" s="307" t="s">
        <v>265</v>
      </c>
      <c r="J18" s="304" t="s">
        <v>281</v>
      </c>
      <c r="K18" s="308">
        <v>43434000</v>
      </c>
    </row>
    <row r="19" spans="1:11" ht="24.95" customHeight="1">
      <c r="A19" s="286"/>
      <c r="B19" s="286"/>
      <c r="C19" s="296"/>
      <c r="D19" s="297"/>
      <c r="E19" s="286"/>
      <c r="F19" s="297"/>
      <c r="G19" s="297"/>
      <c r="H19" s="309" t="s">
        <v>425</v>
      </c>
      <c r="I19" s="312">
        <v>2404000</v>
      </c>
      <c r="J19" s="518" t="s">
        <v>273</v>
      </c>
      <c r="K19" s="311">
        <v>26444000</v>
      </c>
    </row>
    <row r="20" spans="1:11" ht="24.95" customHeight="1">
      <c r="A20" s="286"/>
      <c r="B20" s="286"/>
      <c r="C20" s="296"/>
      <c r="D20" s="297"/>
      <c r="E20" s="286"/>
      <c r="F20" s="297"/>
      <c r="G20" s="297"/>
      <c r="H20" s="306" t="s">
        <v>426</v>
      </c>
      <c r="I20" s="312">
        <v>2404000</v>
      </c>
      <c r="J20" s="313" t="s">
        <v>274</v>
      </c>
      <c r="K20" s="308">
        <v>28848000</v>
      </c>
    </row>
    <row r="21" spans="1:11" ht="24.95" customHeight="1">
      <c r="A21" s="286"/>
      <c r="B21" s="286"/>
      <c r="C21" s="296"/>
      <c r="D21" s="297"/>
      <c r="E21" s="286"/>
      <c r="F21" s="297"/>
      <c r="G21" s="297"/>
      <c r="H21" s="306" t="s">
        <v>427</v>
      </c>
      <c r="I21" s="307" t="s">
        <v>266</v>
      </c>
      <c r="J21" s="304" t="s">
        <v>282</v>
      </c>
      <c r="K21" s="308">
        <v>30448000</v>
      </c>
    </row>
    <row r="22" spans="1:11" ht="24.95" customHeight="1">
      <c r="A22" s="286"/>
      <c r="B22" s="286"/>
      <c r="C22" s="296"/>
      <c r="D22" s="297"/>
      <c r="E22" s="286"/>
      <c r="F22" s="297"/>
      <c r="G22" s="297"/>
      <c r="H22" s="306" t="s">
        <v>428</v>
      </c>
      <c r="I22" s="312" t="s">
        <v>267</v>
      </c>
      <c r="J22" s="313" t="s">
        <v>283</v>
      </c>
      <c r="K22" s="308">
        <v>24841000</v>
      </c>
    </row>
    <row r="23" spans="1:11" ht="24.95" customHeight="1">
      <c r="A23" s="286"/>
      <c r="B23" s="286"/>
      <c r="C23" s="296"/>
      <c r="D23" s="297"/>
      <c r="E23" s="286"/>
      <c r="F23" s="297"/>
      <c r="G23" s="297"/>
      <c r="H23" s="306" t="s">
        <v>429</v>
      </c>
      <c r="I23" s="314" t="s">
        <v>268</v>
      </c>
      <c r="J23" s="313" t="s">
        <v>284</v>
      </c>
      <c r="K23" s="311">
        <v>26171000</v>
      </c>
    </row>
    <row r="24" spans="1:11" ht="22.5">
      <c r="A24" s="286"/>
      <c r="B24" s="286"/>
      <c r="C24" s="296"/>
      <c r="D24" s="297"/>
      <c r="E24" s="286"/>
      <c r="F24" s="297"/>
      <c r="G24" s="297"/>
      <c r="H24" s="309" t="s">
        <v>430</v>
      </c>
      <c r="I24" s="310" t="s">
        <v>269</v>
      </c>
      <c r="J24" s="315" t="s">
        <v>285</v>
      </c>
      <c r="K24" s="311">
        <v>30460000</v>
      </c>
    </row>
    <row r="25" spans="1:11" ht="24.95" customHeight="1">
      <c r="A25" s="286"/>
      <c r="B25" s="286"/>
      <c r="C25" s="296"/>
      <c r="D25" s="297"/>
      <c r="E25" s="286"/>
      <c r="F25" s="297"/>
      <c r="G25" s="297"/>
      <c r="H25" s="316" t="s">
        <v>431</v>
      </c>
      <c r="I25" s="312">
        <v>2698000</v>
      </c>
      <c r="J25" s="518" t="s">
        <v>275</v>
      </c>
      <c r="K25" s="311">
        <v>32376000</v>
      </c>
    </row>
    <row r="26" spans="1:11" ht="24.95" customHeight="1">
      <c r="A26" s="286"/>
      <c r="B26" s="286"/>
      <c r="C26" s="296"/>
      <c r="D26" s="297"/>
      <c r="E26" s="286"/>
      <c r="F26" s="297"/>
      <c r="G26" s="297"/>
      <c r="H26" s="309" t="s">
        <v>432</v>
      </c>
      <c r="I26" s="310" t="s">
        <v>270</v>
      </c>
      <c r="J26" s="518" t="s">
        <v>286</v>
      </c>
      <c r="K26" s="311">
        <v>29923000</v>
      </c>
    </row>
    <row r="27" spans="1:11" ht="22.5">
      <c r="A27" s="286"/>
      <c r="B27" s="286"/>
      <c r="C27" s="296"/>
      <c r="D27" s="297"/>
      <c r="E27" s="286"/>
      <c r="F27" s="297"/>
      <c r="G27" s="297"/>
      <c r="H27" s="309" t="s">
        <v>433</v>
      </c>
      <c r="I27" s="310" t="s">
        <v>271</v>
      </c>
      <c r="J27" s="315" t="s">
        <v>287</v>
      </c>
      <c r="K27" s="311">
        <v>30012000</v>
      </c>
    </row>
    <row r="28" spans="1:11" ht="24.95" customHeight="1">
      <c r="A28" s="286"/>
      <c r="B28" s="286"/>
      <c r="C28" s="296"/>
      <c r="D28" s="297"/>
      <c r="E28" s="286"/>
      <c r="F28" s="297"/>
      <c r="G28" s="297"/>
      <c r="H28" s="306" t="s">
        <v>434</v>
      </c>
      <c r="I28" s="314" t="s">
        <v>272</v>
      </c>
      <c r="J28" s="313" t="s">
        <v>288</v>
      </c>
      <c r="K28" s="311">
        <v>26264000</v>
      </c>
    </row>
    <row r="29" spans="1:11" ht="24.95" customHeight="1">
      <c r="A29" s="286"/>
      <c r="B29" s="286"/>
      <c r="C29" s="296"/>
      <c r="D29" s="297"/>
      <c r="E29" s="286"/>
      <c r="F29" s="297"/>
      <c r="G29" s="297"/>
      <c r="H29" s="306" t="s">
        <v>435</v>
      </c>
      <c r="I29" s="314">
        <v>2222000</v>
      </c>
      <c r="J29" s="313" t="s">
        <v>276</v>
      </c>
      <c r="K29" s="311">
        <v>2222000</v>
      </c>
    </row>
    <row r="30" spans="1:11" ht="24.95" customHeight="1" thickBot="1">
      <c r="A30" s="286"/>
      <c r="B30" s="286"/>
      <c r="C30" s="296"/>
      <c r="D30" s="297"/>
      <c r="E30" s="286"/>
      <c r="F30" s="297"/>
      <c r="G30" s="297"/>
      <c r="H30" s="317"/>
      <c r="I30" s="318"/>
      <c r="J30" s="319"/>
      <c r="K30" s="320"/>
    </row>
    <row r="31" spans="1:11" ht="14.25" thickBot="1">
      <c r="A31" s="286"/>
      <c r="B31" s="286"/>
      <c r="C31" s="282" t="s">
        <v>160</v>
      </c>
      <c r="D31" s="321">
        <f>D32+D50+D67+D80+D97+D99</f>
        <v>138041040</v>
      </c>
      <c r="E31" s="282">
        <f>K31</f>
        <v>138539200</v>
      </c>
      <c r="F31" s="322"/>
      <c r="G31" s="323">
        <f>E31-D31</f>
        <v>498160</v>
      </c>
      <c r="H31" s="1236" t="s">
        <v>160</v>
      </c>
      <c r="I31" s="1237"/>
      <c r="J31" s="1238"/>
      <c r="K31" s="324">
        <f>K32+K50+K67+K80+K97+K99</f>
        <v>138539200</v>
      </c>
    </row>
    <row r="32" spans="1:11" ht="14.25" thickBot="1">
      <c r="A32" s="286"/>
      <c r="B32" s="286"/>
      <c r="C32" s="286"/>
      <c r="D32" s="325">
        <v>18000000</v>
      </c>
      <c r="E32" s="326">
        <f>K32</f>
        <v>17900000</v>
      </c>
      <c r="F32" s="327"/>
      <c r="G32" s="328">
        <f>E32-D32</f>
        <v>-100000</v>
      </c>
      <c r="H32" s="329" t="s">
        <v>4</v>
      </c>
      <c r="I32" s="330"/>
      <c r="J32" s="331"/>
      <c r="K32" s="332">
        <f>SUM(K33:K48)</f>
        <v>17900000</v>
      </c>
    </row>
    <row r="33" spans="1:11" ht="24.75" customHeight="1">
      <c r="A33" s="286"/>
      <c r="B33" s="286"/>
      <c r="C33" s="286"/>
      <c r="D33" s="297"/>
      <c r="E33" s="286"/>
      <c r="F33" s="297"/>
      <c r="G33" s="297"/>
      <c r="H33" s="302" t="s">
        <v>420</v>
      </c>
      <c r="I33" s="333">
        <v>100000</v>
      </c>
      <c r="J33" s="334" t="s">
        <v>259</v>
      </c>
      <c r="K33" s="305">
        <v>1200000</v>
      </c>
    </row>
    <row r="34" spans="1:11" ht="24.75" customHeight="1">
      <c r="A34" s="286"/>
      <c r="B34" s="286"/>
      <c r="C34" s="286"/>
      <c r="D34" s="297"/>
      <c r="E34" s="286"/>
      <c r="F34" s="297"/>
      <c r="G34" s="297"/>
      <c r="H34" s="306" t="s">
        <v>421</v>
      </c>
      <c r="I34" s="335">
        <v>100000</v>
      </c>
      <c r="J34" s="336" t="s">
        <v>259</v>
      </c>
      <c r="K34" s="305">
        <v>1200000</v>
      </c>
    </row>
    <row r="35" spans="1:11" ht="24.75" customHeight="1">
      <c r="A35" s="286"/>
      <c r="B35" s="286"/>
      <c r="C35" s="286"/>
      <c r="D35" s="297"/>
      <c r="E35" s="286"/>
      <c r="F35" s="297"/>
      <c r="G35" s="297"/>
      <c r="H35" s="306" t="s">
        <v>422</v>
      </c>
      <c r="I35" s="335">
        <v>100000</v>
      </c>
      <c r="J35" s="336" t="s">
        <v>259</v>
      </c>
      <c r="K35" s="305">
        <v>1200000</v>
      </c>
    </row>
    <row r="36" spans="1:11" ht="24.75" customHeight="1">
      <c r="A36" s="286"/>
      <c r="B36" s="286"/>
      <c r="C36" s="286"/>
      <c r="D36" s="297"/>
      <c r="E36" s="286"/>
      <c r="F36" s="297"/>
      <c r="G36" s="297"/>
      <c r="H36" s="306" t="s">
        <v>423</v>
      </c>
      <c r="I36" s="335">
        <v>100000</v>
      </c>
      <c r="J36" s="336" t="s">
        <v>259</v>
      </c>
      <c r="K36" s="305">
        <v>1200000</v>
      </c>
    </row>
    <row r="37" spans="1:11" ht="24.75" customHeight="1">
      <c r="A37" s="286"/>
      <c r="B37" s="286"/>
      <c r="C37" s="286"/>
      <c r="D37" s="297"/>
      <c r="E37" s="286"/>
      <c r="F37" s="297"/>
      <c r="G37" s="297"/>
      <c r="H37" s="306" t="s">
        <v>424</v>
      </c>
      <c r="I37" s="335">
        <v>100000</v>
      </c>
      <c r="J37" s="336" t="s">
        <v>259</v>
      </c>
      <c r="K37" s="305">
        <v>1200000</v>
      </c>
    </row>
    <row r="38" spans="1:11" ht="24.75" customHeight="1">
      <c r="A38" s="286"/>
      <c r="B38" s="286"/>
      <c r="C38" s="286"/>
      <c r="D38" s="297"/>
      <c r="E38" s="286"/>
      <c r="F38" s="297"/>
      <c r="G38" s="297"/>
      <c r="H38" s="309" t="s">
        <v>425</v>
      </c>
      <c r="I38" s="335">
        <v>100000</v>
      </c>
      <c r="J38" s="336" t="s">
        <v>290</v>
      </c>
      <c r="K38" s="305">
        <v>1100000</v>
      </c>
    </row>
    <row r="39" spans="1:11" ht="24.75" customHeight="1">
      <c r="A39" s="286"/>
      <c r="B39" s="286"/>
      <c r="C39" s="286"/>
      <c r="D39" s="297"/>
      <c r="E39" s="286"/>
      <c r="F39" s="297"/>
      <c r="G39" s="297"/>
      <c r="H39" s="306" t="s">
        <v>426</v>
      </c>
      <c r="I39" s="335">
        <v>100000</v>
      </c>
      <c r="J39" s="336" t="s">
        <v>259</v>
      </c>
      <c r="K39" s="305">
        <v>1200000</v>
      </c>
    </row>
    <row r="40" spans="1:11" ht="24.75" customHeight="1">
      <c r="A40" s="286"/>
      <c r="B40" s="286"/>
      <c r="C40" s="286"/>
      <c r="D40" s="297"/>
      <c r="E40" s="286"/>
      <c r="F40" s="297"/>
      <c r="G40" s="297"/>
      <c r="H40" s="306" t="s">
        <v>427</v>
      </c>
      <c r="I40" s="335">
        <v>100000</v>
      </c>
      <c r="J40" s="336" t="s">
        <v>259</v>
      </c>
      <c r="K40" s="305">
        <v>1200000</v>
      </c>
    </row>
    <row r="41" spans="1:11" ht="24.75" customHeight="1">
      <c r="A41" s="286"/>
      <c r="B41" s="286"/>
      <c r="C41" s="286"/>
      <c r="D41" s="297"/>
      <c r="E41" s="286"/>
      <c r="F41" s="297"/>
      <c r="G41" s="297"/>
      <c r="H41" s="306" t="s">
        <v>428</v>
      </c>
      <c r="I41" s="335">
        <v>100000</v>
      </c>
      <c r="J41" s="336" t="s">
        <v>290</v>
      </c>
      <c r="K41" s="305">
        <v>1100000</v>
      </c>
    </row>
    <row r="42" spans="1:11" ht="24.75" customHeight="1">
      <c r="A42" s="286"/>
      <c r="B42" s="286"/>
      <c r="C42" s="286"/>
      <c r="D42" s="297"/>
      <c r="E42" s="286"/>
      <c r="F42" s="297"/>
      <c r="G42" s="297"/>
      <c r="H42" s="306" t="s">
        <v>429</v>
      </c>
      <c r="I42" s="335">
        <v>100000</v>
      </c>
      <c r="J42" s="336" t="s">
        <v>259</v>
      </c>
      <c r="K42" s="305">
        <v>1200000</v>
      </c>
    </row>
    <row r="43" spans="1:11" ht="24.75" customHeight="1">
      <c r="A43" s="286"/>
      <c r="B43" s="286"/>
      <c r="C43" s="286"/>
      <c r="D43" s="297"/>
      <c r="E43" s="286"/>
      <c r="F43" s="297"/>
      <c r="G43" s="297"/>
      <c r="H43" s="309" t="s">
        <v>430</v>
      </c>
      <c r="I43" s="335">
        <v>100000</v>
      </c>
      <c r="J43" s="336" t="s">
        <v>259</v>
      </c>
      <c r="K43" s="305">
        <v>1200000</v>
      </c>
    </row>
    <row r="44" spans="1:11" ht="24.75" customHeight="1">
      <c r="A44" s="286"/>
      <c r="B44" s="286"/>
      <c r="C44" s="286"/>
      <c r="D44" s="297"/>
      <c r="E44" s="286"/>
      <c r="F44" s="297"/>
      <c r="G44" s="297"/>
      <c r="H44" s="316" t="s">
        <v>431</v>
      </c>
      <c r="I44" s="335">
        <v>100000</v>
      </c>
      <c r="J44" s="336" t="s">
        <v>259</v>
      </c>
      <c r="K44" s="305">
        <v>1200000</v>
      </c>
    </row>
    <row r="45" spans="1:11" ht="24.75" customHeight="1">
      <c r="A45" s="286"/>
      <c r="B45" s="286"/>
      <c r="C45" s="286"/>
      <c r="D45" s="297"/>
      <c r="E45" s="286"/>
      <c r="F45" s="297"/>
      <c r="G45" s="297"/>
      <c r="H45" s="309" t="s">
        <v>432</v>
      </c>
      <c r="I45" s="335">
        <v>100000</v>
      </c>
      <c r="J45" s="336" t="s">
        <v>259</v>
      </c>
      <c r="K45" s="305">
        <v>1200000</v>
      </c>
    </row>
    <row r="46" spans="1:11" ht="24.75" customHeight="1">
      <c r="A46" s="286"/>
      <c r="B46" s="286"/>
      <c r="C46" s="286"/>
      <c r="D46" s="297"/>
      <c r="E46" s="286"/>
      <c r="F46" s="297"/>
      <c r="G46" s="297"/>
      <c r="H46" s="309" t="s">
        <v>433</v>
      </c>
      <c r="I46" s="335">
        <v>100000</v>
      </c>
      <c r="J46" s="336" t="s">
        <v>259</v>
      </c>
      <c r="K46" s="305">
        <v>1200000</v>
      </c>
    </row>
    <row r="47" spans="1:11" ht="24.75" customHeight="1">
      <c r="A47" s="286"/>
      <c r="B47" s="286"/>
      <c r="C47" s="286"/>
      <c r="D47" s="297"/>
      <c r="E47" s="286"/>
      <c r="F47" s="297"/>
      <c r="G47" s="297"/>
      <c r="H47" s="306" t="s">
        <v>434</v>
      </c>
      <c r="I47" s="337">
        <v>100000</v>
      </c>
      <c r="J47" s="338" t="s">
        <v>259</v>
      </c>
      <c r="K47" s="305">
        <v>1200000</v>
      </c>
    </row>
    <row r="48" spans="1:11" ht="24.75" customHeight="1">
      <c r="A48" s="286"/>
      <c r="B48" s="286"/>
      <c r="C48" s="286"/>
      <c r="D48" s="297"/>
      <c r="E48" s="286"/>
      <c r="F48" s="297"/>
      <c r="G48" s="297"/>
      <c r="H48" s="306" t="s">
        <v>435</v>
      </c>
      <c r="I48" s="337">
        <v>100000</v>
      </c>
      <c r="J48" s="339" t="s">
        <v>289</v>
      </c>
      <c r="K48" s="308">
        <v>100000</v>
      </c>
    </row>
    <row r="49" spans="1:11" ht="24.75" customHeight="1" thickBot="1">
      <c r="A49" s="286"/>
      <c r="B49" s="286"/>
      <c r="C49" s="296"/>
      <c r="D49" s="297"/>
      <c r="E49" s="340"/>
      <c r="F49" s="297"/>
      <c r="G49" s="297"/>
      <c r="H49" s="341"/>
      <c r="I49" s="342"/>
      <c r="J49" s="343"/>
      <c r="K49" s="344"/>
    </row>
    <row r="50" spans="1:11" ht="14.25" thickBot="1">
      <c r="A50" s="286"/>
      <c r="B50" s="286"/>
      <c r="C50" s="296"/>
      <c r="D50" s="345">
        <v>52027840</v>
      </c>
      <c r="E50" s="326">
        <f>K50</f>
        <v>52423200</v>
      </c>
      <c r="F50" s="322"/>
      <c r="G50" s="323">
        <f>E50-D50</f>
        <v>395360</v>
      </c>
      <c r="H50" s="346" t="s">
        <v>6</v>
      </c>
      <c r="I50" s="347"/>
      <c r="J50" s="348"/>
      <c r="K50" s="349">
        <f>SUM(K51:K66)</f>
        <v>52423200</v>
      </c>
    </row>
    <row r="51" spans="1:11" ht="22.5">
      <c r="A51" s="286"/>
      <c r="B51" s="286"/>
      <c r="C51" s="296"/>
      <c r="D51" s="297"/>
      <c r="E51" s="298"/>
      <c r="F51" s="297"/>
      <c r="G51" s="297"/>
      <c r="H51" s="306" t="s">
        <v>421</v>
      </c>
      <c r="I51" s="310" t="s">
        <v>291</v>
      </c>
      <c r="J51" s="315" t="s">
        <v>292</v>
      </c>
      <c r="K51" s="311">
        <v>5688060</v>
      </c>
    </row>
    <row r="52" spans="1:11" ht="24.95" customHeight="1">
      <c r="A52" s="286"/>
      <c r="B52" s="286"/>
      <c r="C52" s="296"/>
      <c r="D52" s="297"/>
      <c r="E52" s="286"/>
      <c r="F52" s="297"/>
      <c r="G52" s="297"/>
      <c r="H52" s="306" t="s">
        <v>422</v>
      </c>
      <c r="I52" s="310" t="s">
        <v>293</v>
      </c>
      <c r="J52" s="315" t="s">
        <v>294</v>
      </c>
      <c r="K52" s="311">
        <v>4996260</v>
      </c>
    </row>
    <row r="53" spans="1:11" ht="24.95" customHeight="1">
      <c r="A53" s="286"/>
      <c r="B53" s="286"/>
      <c r="C53" s="296"/>
      <c r="D53" s="297"/>
      <c r="E53" s="286"/>
      <c r="F53" s="297"/>
      <c r="G53" s="297"/>
      <c r="H53" s="306" t="s">
        <v>423</v>
      </c>
      <c r="I53" s="310" t="s">
        <v>295</v>
      </c>
      <c r="J53" s="315" t="s">
        <v>296</v>
      </c>
      <c r="K53" s="311">
        <v>4647680</v>
      </c>
    </row>
    <row r="54" spans="1:11" ht="24.95" customHeight="1">
      <c r="A54" s="286"/>
      <c r="B54" s="286"/>
      <c r="C54" s="296"/>
      <c r="D54" s="297"/>
      <c r="E54" s="286"/>
      <c r="F54" s="297"/>
      <c r="G54" s="297"/>
      <c r="H54" s="306" t="s">
        <v>424</v>
      </c>
      <c r="I54" s="310" t="s">
        <v>297</v>
      </c>
      <c r="J54" s="315" t="s">
        <v>298</v>
      </c>
      <c r="K54" s="311">
        <v>4805060</v>
      </c>
    </row>
    <row r="55" spans="1:11" ht="24.95" customHeight="1">
      <c r="A55" s="286"/>
      <c r="B55" s="286"/>
      <c r="C55" s="296"/>
      <c r="D55" s="297"/>
      <c r="E55" s="286"/>
      <c r="F55" s="297"/>
      <c r="G55" s="297"/>
      <c r="H55" s="309" t="s">
        <v>425</v>
      </c>
      <c r="I55" s="312">
        <v>2504000</v>
      </c>
      <c r="J55" s="315" t="s">
        <v>299</v>
      </c>
      <c r="K55" s="311">
        <v>2965160</v>
      </c>
    </row>
    <row r="56" spans="1:11" ht="24.95" customHeight="1">
      <c r="A56" s="286"/>
      <c r="B56" s="286"/>
      <c r="C56" s="296"/>
      <c r="D56" s="297"/>
      <c r="E56" s="286"/>
      <c r="F56" s="297"/>
      <c r="G56" s="297"/>
      <c r="H56" s="306" t="s">
        <v>426</v>
      </c>
      <c r="I56" s="312">
        <v>2504000</v>
      </c>
      <c r="J56" s="315" t="s">
        <v>300</v>
      </c>
      <c r="K56" s="311">
        <v>3234720</v>
      </c>
    </row>
    <row r="57" spans="1:11" ht="24.95" customHeight="1">
      <c r="A57" s="286"/>
      <c r="B57" s="286"/>
      <c r="C57" s="296"/>
      <c r="D57" s="297"/>
      <c r="E57" s="286"/>
      <c r="F57" s="297"/>
      <c r="G57" s="297"/>
      <c r="H57" s="306" t="s">
        <v>427</v>
      </c>
      <c r="I57" s="310" t="s">
        <v>301</v>
      </c>
      <c r="J57" s="315" t="s">
        <v>302</v>
      </c>
      <c r="K57" s="311">
        <v>3407040</v>
      </c>
    </row>
    <row r="58" spans="1:11" ht="24.95" customHeight="1">
      <c r="A58" s="286"/>
      <c r="B58" s="286"/>
      <c r="C58" s="296"/>
      <c r="D58" s="297"/>
      <c r="E58" s="286"/>
      <c r="F58" s="297"/>
      <c r="G58" s="297"/>
      <c r="H58" s="306" t="s">
        <v>428</v>
      </c>
      <c r="I58" s="312" t="s">
        <v>303</v>
      </c>
      <c r="J58" s="315" t="s">
        <v>304</v>
      </c>
      <c r="K58" s="311">
        <v>2792610</v>
      </c>
    </row>
    <row r="59" spans="1:11" ht="24.95" customHeight="1">
      <c r="A59" s="286"/>
      <c r="B59" s="286"/>
      <c r="C59" s="296"/>
      <c r="D59" s="297"/>
      <c r="E59" s="286"/>
      <c r="F59" s="297"/>
      <c r="G59" s="297"/>
      <c r="H59" s="306" t="s">
        <v>429</v>
      </c>
      <c r="I59" s="312" t="s">
        <v>305</v>
      </c>
      <c r="J59" s="315" t="s">
        <v>306</v>
      </c>
      <c r="K59" s="311">
        <v>2946580</v>
      </c>
    </row>
    <row r="60" spans="1:11" ht="22.5">
      <c r="A60" s="286"/>
      <c r="B60" s="286"/>
      <c r="C60" s="296"/>
      <c r="D60" s="297"/>
      <c r="E60" s="286"/>
      <c r="F60" s="297"/>
      <c r="G60" s="297"/>
      <c r="H60" s="309" t="s">
        <v>430</v>
      </c>
      <c r="I60" s="310" t="s">
        <v>307</v>
      </c>
      <c r="J60" s="315" t="s">
        <v>308</v>
      </c>
      <c r="K60" s="311">
        <v>3408280</v>
      </c>
    </row>
    <row r="61" spans="1:11" ht="24.95" customHeight="1">
      <c r="A61" s="286"/>
      <c r="B61" s="286"/>
      <c r="C61" s="296"/>
      <c r="D61" s="297"/>
      <c r="E61" s="286"/>
      <c r="F61" s="297"/>
      <c r="G61" s="297"/>
      <c r="H61" s="316" t="s">
        <v>431</v>
      </c>
      <c r="I61" s="312">
        <v>2798000</v>
      </c>
      <c r="J61" s="315" t="s">
        <v>309</v>
      </c>
      <c r="K61" s="311">
        <v>3614640</v>
      </c>
    </row>
    <row r="62" spans="1:11" ht="22.5">
      <c r="A62" s="286"/>
      <c r="B62" s="286"/>
      <c r="C62" s="296"/>
      <c r="D62" s="297"/>
      <c r="E62" s="286"/>
      <c r="F62" s="297"/>
      <c r="G62" s="297"/>
      <c r="H62" s="309" t="s">
        <v>432</v>
      </c>
      <c r="I62" s="310" t="s">
        <v>310</v>
      </c>
      <c r="J62" s="315" t="s">
        <v>311</v>
      </c>
      <c r="K62" s="311">
        <v>3350460</v>
      </c>
    </row>
    <row r="63" spans="1:11" ht="22.5">
      <c r="A63" s="286"/>
      <c r="B63" s="286"/>
      <c r="C63" s="296"/>
      <c r="D63" s="297"/>
      <c r="E63" s="286"/>
      <c r="F63" s="297"/>
      <c r="G63" s="297"/>
      <c r="H63" s="309" t="s">
        <v>433</v>
      </c>
      <c r="I63" s="310" t="s">
        <v>312</v>
      </c>
      <c r="J63" s="315" t="s">
        <v>313</v>
      </c>
      <c r="K63" s="311">
        <v>3360120</v>
      </c>
    </row>
    <row r="64" spans="1:11" ht="24.95" customHeight="1">
      <c r="A64" s="286"/>
      <c r="B64" s="286"/>
      <c r="C64" s="296"/>
      <c r="D64" s="297"/>
      <c r="E64" s="286"/>
      <c r="F64" s="297"/>
      <c r="G64" s="297"/>
      <c r="H64" s="306" t="s">
        <v>434</v>
      </c>
      <c r="I64" s="312" t="s">
        <v>314</v>
      </c>
      <c r="J64" s="315" t="s">
        <v>315</v>
      </c>
      <c r="K64" s="311">
        <v>2956560</v>
      </c>
    </row>
    <row r="65" spans="1:11" ht="24.95" customHeight="1">
      <c r="A65" s="286"/>
      <c r="B65" s="286"/>
      <c r="C65" s="296"/>
      <c r="D65" s="297"/>
      <c r="E65" s="286"/>
      <c r="F65" s="297"/>
      <c r="G65" s="297"/>
      <c r="H65" s="306" t="s">
        <v>435</v>
      </c>
      <c r="I65" s="312">
        <v>2322000</v>
      </c>
      <c r="J65" s="315" t="s">
        <v>316</v>
      </c>
      <c r="K65" s="311">
        <v>249970</v>
      </c>
    </row>
    <row r="66" spans="1:11" ht="24.95" customHeight="1" thickBot="1">
      <c r="A66" s="286"/>
      <c r="B66" s="286"/>
      <c r="C66" s="296"/>
      <c r="D66" s="297"/>
      <c r="E66" s="286"/>
      <c r="F66" s="297"/>
      <c r="G66" s="297"/>
      <c r="H66" s="309"/>
      <c r="I66" s="310"/>
      <c r="J66" s="315"/>
      <c r="K66" s="320"/>
    </row>
    <row r="67" spans="1:11" ht="14.25" thickBot="1">
      <c r="A67" s="286"/>
      <c r="B67" s="286"/>
      <c r="C67" s="296"/>
      <c r="D67" s="345">
        <v>8820000</v>
      </c>
      <c r="E67" s="326">
        <f>K67</f>
        <v>8340000</v>
      </c>
      <c r="F67" s="322"/>
      <c r="G67" s="323">
        <f>E67-D67</f>
        <v>-480000</v>
      </c>
      <c r="H67" s="346" t="s">
        <v>5</v>
      </c>
      <c r="I67" s="347"/>
      <c r="J67" s="348"/>
      <c r="K67" s="349">
        <f>SUM(K68:K79)</f>
        <v>8340000</v>
      </c>
    </row>
    <row r="68" spans="1:11" ht="24.6" customHeight="1">
      <c r="A68" s="286"/>
      <c r="B68" s="286"/>
      <c r="C68" s="296"/>
      <c r="D68" s="297"/>
      <c r="E68" s="286"/>
      <c r="F68" s="297"/>
      <c r="G68" s="297"/>
      <c r="H68" s="513" t="s">
        <v>420</v>
      </c>
      <c r="I68" s="1239" t="s">
        <v>317</v>
      </c>
      <c r="J68" s="1240"/>
      <c r="K68" s="440">
        <v>960000</v>
      </c>
    </row>
    <row r="69" spans="1:11" ht="24.6" customHeight="1">
      <c r="A69" s="286"/>
      <c r="B69" s="286"/>
      <c r="C69" s="296"/>
      <c r="D69" s="297"/>
      <c r="E69" s="286"/>
      <c r="F69" s="297"/>
      <c r="G69" s="297"/>
      <c r="H69" s="309" t="s">
        <v>421</v>
      </c>
      <c r="I69" s="1213" t="s">
        <v>318</v>
      </c>
      <c r="J69" s="1214"/>
      <c r="K69" s="440">
        <v>480000</v>
      </c>
    </row>
    <row r="70" spans="1:11" ht="24.6" customHeight="1">
      <c r="A70" s="286"/>
      <c r="B70" s="286"/>
      <c r="C70" s="296"/>
      <c r="D70" s="297"/>
      <c r="E70" s="286"/>
      <c r="F70" s="297"/>
      <c r="G70" s="297"/>
      <c r="H70" s="309" t="s">
        <v>422</v>
      </c>
      <c r="I70" s="1213" t="s">
        <v>319</v>
      </c>
      <c r="J70" s="1214"/>
      <c r="K70" s="441">
        <v>480000</v>
      </c>
    </row>
    <row r="71" spans="1:11" ht="24.6" customHeight="1">
      <c r="A71" s="286"/>
      <c r="B71" s="286"/>
      <c r="C71" s="296"/>
      <c r="D71" s="297"/>
      <c r="E71" s="286"/>
      <c r="F71" s="297"/>
      <c r="G71" s="297"/>
      <c r="H71" s="309" t="s">
        <v>423</v>
      </c>
      <c r="I71" s="1211" t="s">
        <v>320</v>
      </c>
      <c r="J71" s="1212"/>
      <c r="K71" s="441">
        <v>720000</v>
      </c>
    </row>
    <row r="72" spans="1:11" ht="24.6" customHeight="1">
      <c r="A72" s="286"/>
      <c r="B72" s="286"/>
      <c r="C72" s="296"/>
      <c r="D72" s="297"/>
      <c r="E72" s="286"/>
      <c r="F72" s="297"/>
      <c r="G72" s="297"/>
      <c r="H72" s="309" t="s">
        <v>424</v>
      </c>
      <c r="I72" s="1211" t="s">
        <v>320</v>
      </c>
      <c r="J72" s="1212"/>
      <c r="K72" s="441">
        <v>720000</v>
      </c>
    </row>
    <row r="73" spans="1:11" ht="24.6" customHeight="1">
      <c r="A73" s="286"/>
      <c r="B73" s="286"/>
      <c r="C73" s="296"/>
      <c r="D73" s="297"/>
      <c r="E73" s="286"/>
      <c r="F73" s="297"/>
      <c r="G73" s="297"/>
      <c r="H73" s="309" t="s">
        <v>426</v>
      </c>
      <c r="I73" s="1211" t="s">
        <v>321</v>
      </c>
      <c r="J73" s="1212"/>
      <c r="K73" s="441">
        <v>1920000</v>
      </c>
    </row>
    <row r="74" spans="1:11" ht="24.6" customHeight="1">
      <c r="A74" s="286"/>
      <c r="B74" s="286"/>
      <c r="C74" s="296"/>
      <c r="D74" s="297"/>
      <c r="E74" s="286"/>
      <c r="F74" s="297"/>
      <c r="G74" s="297"/>
      <c r="H74" s="309" t="s">
        <v>428</v>
      </c>
      <c r="I74" s="1211" t="s">
        <v>322</v>
      </c>
      <c r="J74" s="1212"/>
      <c r="K74" s="441">
        <v>660000</v>
      </c>
    </row>
    <row r="75" spans="1:11" ht="24.6" customHeight="1">
      <c r="A75" s="286"/>
      <c r="B75" s="286"/>
      <c r="C75" s="296"/>
      <c r="D75" s="297"/>
      <c r="E75" s="286"/>
      <c r="F75" s="297"/>
      <c r="G75" s="297"/>
      <c r="H75" s="309" t="s">
        <v>429</v>
      </c>
      <c r="I75" s="1211" t="s">
        <v>323</v>
      </c>
      <c r="J75" s="1212"/>
      <c r="K75" s="441">
        <v>960000</v>
      </c>
    </row>
    <row r="76" spans="1:11" ht="24.6" customHeight="1">
      <c r="A76" s="286"/>
      <c r="B76" s="286"/>
      <c r="C76" s="296"/>
      <c r="D76" s="297"/>
      <c r="E76" s="286"/>
      <c r="F76" s="297"/>
      <c r="G76" s="297"/>
      <c r="H76" s="309" t="s">
        <v>430</v>
      </c>
      <c r="I76" s="1211" t="s">
        <v>320</v>
      </c>
      <c r="J76" s="1212"/>
      <c r="K76" s="441">
        <v>720000</v>
      </c>
    </row>
    <row r="77" spans="1:11" ht="24.6" customHeight="1">
      <c r="A77" s="286"/>
      <c r="B77" s="286"/>
      <c r="C77" s="296"/>
      <c r="D77" s="297"/>
      <c r="E77" s="286"/>
      <c r="F77" s="297"/>
      <c r="G77" s="297"/>
      <c r="H77" s="309" t="s">
        <v>431</v>
      </c>
      <c r="I77" s="1213" t="s">
        <v>324</v>
      </c>
      <c r="J77" s="1214"/>
      <c r="K77" s="441">
        <v>240000</v>
      </c>
    </row>
    <row r="78" spans="1:11" ht="24.6" customHeight="1">
      <c r="A78" s="286"/>
      <c r="B78" s="286"/>
      <c r="C78" s="296"/>
      <c r="D78" s="297"/>
      <c r="E78" s="286"/>
      <c r="F78" s="297"/>
      <c r="G78" s="297"/>
      <c r="H78" s="309" t="s">
        <v>433</v>
      </c>
      <c r="I78" s="1213" t="s">
        <v>325</v>
      </c>
      <c r="J78" s="1214"/>
      <c r="K78" s="441">
        <v>480000</v>
      </c>
    </row>
    <row r="79" spans="1:11" ht="24.6" customHeight="1" thickBot="1">
      <c r="A79" s="286"/>
      <c r="B79" s="286"/>
      <c r="C79" s="296"/>
      <c r="D79" s="297"/>
      <c r="E79" s="286"/>
      <c r="F79" s="297"/>
      <c r="G79" s="297"/>
      <c r="H79" s="361"/>
      <c r="I79" s="1215"/>
      <c r="J79" s="1216"/>
      <c r="K79" s="441"/>
    </row>
    <row r="80" spans="1:11" ht="13.5" customHeight="1" thickBot="1">
      <c r="A80" s="286"/>
      <c r="B80" s="286"/>
      <c r="C80" s="296"/>
      <c r="D80" s="345">
        <v>52483200</v>
      </c>
      <c r="E80" s="326">
        <f>K80</f>
        <v>53166000</v>
      </c>
      <c r="F80" s="322"/>
      <c r="G80" s="323">
        <f>E80-D80</f>
        <v>682800</v>
      </c>
      <c r="H80" s="346" t="s">
        <v>7</v>
      </c>
      <c r="I80" s="347"/>
      <c r="J80" s="348"/>
      <c r="K80" s="349">
        <f>SUM(K81:K96)</f>
        <v>53166000</v>
      </c>
    </row>
    <row r="81" spans="1:11" ht="24.95" customHeight="1">
      <c r="A81" s="286"/>
      <c r="B81" s="286"/>
      <c r="C81" s="296"/>
      <c r="D81" s="297"/>
      <c r="E81" s="286"/>
      <c r="F81" s="297"/>
      <c r="G81" s="297"/>
      <c r="H81" s="302" t="s">
        <v>420</v>
      </c>
      <c r="I81" s="352">
        <v>4949000</v>
      </c>
      <c r="J81" s="315" t="s">
        <v>326</v>
      </c>
      <c r="K81" s="351">
        <v>5938800</v>
      </c>
    </row>
    <row r="82" spans="1:11" ht="24.95" customHeight="1">
      <c r="A82" s="286"/>
      <c r="B82" s="286"/>
      <c r="C82" s="296"/>
      <c r="D82" s="297"/>
      <c r="E82" s="286"/>
      <c r="F82" s="297"/>
      <c r="G82" s="297"/>
      <c r="H82" s="306" t="s">
        <v>421</v>
      </c>
      <c r="I82" s="310" t="s">
        <v>262</v>
      </c>
      <c r="J82" s="315" t="s">
        <v>327</v>
      </c>
      <c r="K82" s="311">
        <v>5163600</v>
      </c>
    </row>
    <row r="83" spans="1:11" ht="24.95" customHeight="1">
      <c r="A83" s="286"/>
      <c r="B83" s="286"/>
      <c r="C83" s="296"/>
      <c r="D83" s="297"/>
      <c r="E83" s="286"/>
      <c r="F83" s="297"/>
      <c r="G83" s="297"/>
      <c r="H83" s="306" t="s">
        <v>422</v>
      </c>
      <c r="I83" s="310" t="s">
        <v>263</v>
      </c>
      <c r="J83" s="315" t="s">
        <v>328</v>
      </c>
      <c r="K83" s="311">
        <v>4521000</v>
      </c>
    </row>
    <row r="84" spans="1:11" ht="24.95" customHeight="1">
      <c r="A84" s="286"/>
      <c r="B84" s="286"/>
      <c r="C84" s="296"/>
      <c r="D84" s="297"/>
      <c r="E84" s="286"/>
      <c r="F84" s="297"/>
      <c r="G84" s="297"/>
      <c r="H84" s="306" t="s">
        <v>423</v>
      </c>
      <c r="I84" s="310" t="s">
        <v>264</v>
      </c>
      <c r="J84" s="315" t="s">
        <v>329</v>
      </c>
      <c r="K84" s="311">
        <v>4211400</v>
      </c>
    </row>
    <row r="85" spans="1:11" ht="24.95" customHeight="1">
      <c r="A85" s="286"/>
      <c r="B85" s="286"/>
      <c r="C85" s="296"/>
      <c r="D85" s="297"/>
      <c r="E85" s="286"/>
      <c r="F85" s="297"/>
      <c r="G85" s="297"/>
      <c r="H85" s="306" t="s">
        <v>424</v>
      </c>
      <c r="I85" s="312">
        <v>3614000</v>
      </c>
      <c r="J85" s="315" t="s">
        <v>330</v>
      </c>
      <c r="K85" s="311">
        <v>4336800</v>
      </c>
    </row>
    <row r="86" spans="1:11" ht="24.95" customHeight="1">
      <c r="A86" s="286"/>
      <c r="B86" s="286"/>
      <c r="C86" s="296"/>
      <c r="D86" s="297"/>
      <c r="E86" s="286"/>
      <c r="F86" s="297"/>
      <c r="G86" s="297"/>
      <c r="H86" s="309" t="s">
        <v>425</v>
      </c>
      <c r="I86" s="312">
        <v>2404000</v>
      </c>
      <c r="J86" s="315" t="s">
        <v>331</v>
      </c>
      <c r="K86" s="311">
        <v>2884800</v>
      </c>
    </row>
    <row r="87" spans="1:11" ht="24.95" customHeight="1">
      <c r="A87" s="286"/>
      <c r="B87" s="286"/>
      <c r="C87" s="296"/>
      <c r="D87" s="297"/>
      <c r="E87" s="286"/>
      <c r="F87" s="297"/>
      <c r="G87" s="297"/>
      <c r="H87" s="306" t="s">
        <v>426</v>
      </c>
      <c r="I87" s="312">
        <v>2404000</v>
      </c>
      <c r="J87" s="315" t="s">
        <v>331</v>
      </c>
      <c r="K87" s="311">
        <v>2884800</v>
      </c>
    </row>
    <row r="88" spans="1:11" ht="24.95" customHeight="1">
      <c r="A88" s="286"/>
      <c r="B88" s="286"/>
      <c r="C88" s="296"/>
      <c r="D88" s="297"/>
      <c r="E88" s="286"/>
      <c r="F88" s="297"/>
      <c r="G88" s="297"/>
      <c r="H88" s="306" t="s">
        <v>427</v>
      </c>
      <c r="I88" s="310" t="s">
        <v>266</v>
      </c>
      <c r="J88" s="315" t="s">
        <v>332</v>
      </c>
      <c r="K88" s="311">
        <v>3030600</v>
      </c>
    </row>
    <row r="89" spans="1:11" ht="24.95" customHeight="1">
      <c r="A89" s="286"/>
      <c r="B89" s="286"/>
      <c r="C89" s="296"/>
      <c r="D89" s="297"/>
      <c r="E89" s="286"/>
      <c r="F89" s="297"/>
      <c r="G89" s="297"/>
      <c r="H89" s="306" t="s">
        <v>428</v>
      </c>
      <c r="I89" s="312">
        <v>2251000</v>
      </c>
      <c r="J89" s="315" t="s">
        <v>333</v>
      </c>
      <c r="K89" s="311">
        <v>2701200</v>
      </c>
    </row>
    <row r="90" spans="1:11" ht="24.95" customHeight="1">
      <c r="A90" s="286"/>
      <c r="B90" s="286"/>
      <c r="C90" s="296"/>
      <c r="D90" s="297"/>
      <c r="E90" s="286"/>
      <c r="F90" s="297"/>
      <c r="G90" s="297"/>
      <c r="H90" s="306" t="s">
        <v>429</v>
      </c>
      <c r="I90" s="312">
        <v>2180000</v>
      </c>
      <c r="J90" s="315" t="s">
        <v>334</v>
      </c>
      <c r="K90" s="311">
        <v>2616000</v>
      </c>
    </row>
    <row r="91" spans="1:11" ht="24.95" customHeight="1">
      <c r="A91" s="286"/>
      <c r="B91" s="286"/>
      <c r="C91" s="296"/>
      <c r="D91" s="297"/>
      <c r="E91" s="286"/>
      <c r="F91" s="297"/>
      <c r="G91" s="297"/>
      <c r="H91" s="309" t="s">
        <v>430</v>
      </c>
      <c r="I91" s="312">
        <v>2524000</v>
      </c>
      <c r="J91" s="315" t="s">
        <v>335</v>
      </c>
      <c r="K91" s="311">
        <v>3028800</v>
      </c>
    </row>
    <row r="92" spans="1:11" ht="24.95" customHeight="1">
      <c r="A92" s="286"/>
      <c r="B92" s="286"/>
      <c r="C92" s="296"/>
      <c r="D92" s="297"/>
      <c r="E92" s="286"/>
      <c r="F92" s="297"/>
      <c r="G92" s="297"/>
      <c r="H92" s="316" t="s">
        <v>431</v>
      </c>
      <c r="I92" s="312">
        <v>2698000</v>
      </c>
      <c r="J92" s="315" t="s">
        <v>336</v>
      </c>
      <c r="K92" s="311">
        <v>3237600</v>
      </c>
    </row>
    <row r="93" spans="1:11" ht="24.95" customHeight="1">
      <c r="A93" s="286"/>
      <c r="B93" s="286"/>
      <c r="C93" s="296"/>
      <c r="D93" s="297"/>
      <c r="E93" s="286"/>
      <c r="F93" s="297"/>
      <c r="G93" s="297"/>
      <c r="H93" s="309" t="s">
        <v>432</v>
      </c>
      <c r="I93" s="312" t="s">
        <v>270</v>
      </c>
      <c r="J93" s="315" t="s">
        <v>337</v>
      </c>
      <c r="K93" s="311">
        <v>2985000</v>
      </c>
    </row>
    <row r="94" spans="1:11" ht="24.95" customHeight="1">
      <c r="A94" s="286"/>
      <c r="B94" s="286"/>
      <c r="C94" s="296"/>
      <c r="D94" s="297"/>
      <c r="E94" s="286"/>
      <c r="F94" s="297"/>
      <c r="G94" s="297"/>
      <c r="H94" s="309" t="s">
        <v>433</v>
      </c>
      <c r="I94" s="312" t="s">
        <v>271</v>
      </c>
      <c r="J94" s="315" t="s">
        <v>338</v>
      </c>
      <c r="K94" s="311">
        <v>3001200</v>
      </c>
    </row>
    <row r="95" spans="1:11" ht="24.95" customHeight="1">
      <c r="A95" s="286"/>
      <c r="B95" s="286"/>
      <c r="C95" s="296"/>
      <c r="D95" s="297"/>
      <c r="E95" s="286"/>
      <c r="F95" s="297"/>
      <c r="G95" s="297"/>
      <c r="H95" s="306" t="s">
        <v>434</v>
      </c>
      <c r="I95" s="312">
        <v>2187000</v>
      </c>
      <c r="J95" s="315" t="s">
        <v>339</v>
      </c>
      <c r="K95" s="311">
        <v>2624400</v>
      </c>
    </row>
    <row r="96" spans="1:11" ht="24.95" customHeight="1" thickBot="1">
      <c r="A96" s="286"/>
      <c r="B96" s="286"/>
      <c r="C96" s="296"/>
      <c r="D96" s="297"/>
      <c r="E96" s="286"/>
      <c r="F96" s="297"/>
      <c r="G96" s="297"/>
      <c r="H96" s="306"/>
      <c r="I96" s="312"/>
      <c r="J96" s="315"/>
      <c r="K96" s="320"/>
    </row>
    <row r="97" spans="1:11" ht="14.25" thickBot="1">
      <c r="A97" s="286"/>
      <c r="B97" s="286"/>
      <c r="C97" s="297"/>
      <c r="D97" s="345">
        <v>2400000</v>
      </c>
      <c r="E97" s="326">
        <f>K97</f>
        <v>2400000</v>
      </c>
      <c r="F97" s="322"/>
      <c r="G97" s="323">
        <f>E97-D97</f>
        <v>0</v>
      </c>
      <c r="H97" s="346" t="s">
        <v>8</v>
      </c>
      <c r="I97" s="347"/>
      <c r="J97" s="348"/>
      <c r="K97" s="349">
        <f>SUM(K98)</f>
        <v>2400000</v>
      </c>
    </row>
    <row r="98" spans="1:11" ht="24.95" customHeight="1" thickBot="1">
      <c r="A98" s="286"/>
      <c r="B98" s="286"/>
      <c r="C98" s="296"/>
      <c r="D98" s="297"/>
      <c r="E98" s="286"/>
      <c r="F98" s="297"/>
      <c r="G98" s="297"/>
      <c r="H98" s="353" t="s">
        <v>10</v>
      </c>
      <c r="I98" s="354" t="s">
        <v>103</v>
      </c>
      <c r="J98" s="355"/>
      <c r="K98" s="356">
        <v>2400000</v>
      </c>
    </row>
    <row r="99" spans="1:11" ht="24.95" customHeight="1" thickBot="1">
      <c r="A99" s="286"/>
      <c r="B99" s="286"/>
      <c r="C99" s="297"/>
      <c r="D99" s="345">
        <v>4310000</v>
      </c>
      <c r="E99" s="326">
        <f>K99</f>
        <v>4310000</v>
      </c>
      <c r="F99" s="297"/>
      <c r="G99" s="323">
        <f>E99-D99</f>
        <v>0</v>
      </c>
      <c r="H99" s="346" t="s">
        <v>9</v>
      </c>
      <c r="I99" s="347"/>
      <c r="J99" s="348"/>
      <c r="K99" s="349">
        <f>SUM(K100:K101)</f>
        <v>4310000</v>
      </c>
    </row>
    <row r="100" spans="1:11" ht="24.6" customHeight="1">
      <c r="A100" s="286"/>
      <c r="B100" s="286"/>
      <c r="C100" s="296"/>
      <c r="D100" s="297"/>
      <c r="E100" s="286"/>
      <c r="F100" s="297"/>
      <c r="G100" s="297"/>
      <c r="H100" s="514" t="s">
        <v>104</v>
      </c>
      <c r="I100" s="357"/>
      <c r="J100" s="443" t="s">
        <v>105</v>
      </c>
      <c r="K100" s="356">
        <v>2310000</v>
      </c>
    </row>
    <row r="101" spans="1:11" ht="24.6" customHeight="1" thickBot="1">
      <c r="A101" s="286"/>
      <c r="B101" s="286"/>
      <c r="C101" s="296"/>
      <c r="D101" s="297"/>
      <c r="E101" s="286"/>
      <c r="F101" s="297"/>
      <c r="G101" s="297"/>
      <c r="H101" s="515" t="s">
        <v>106</v>
      </c>
      <c r="I101" s="358"/>
      <c r="J101" s="442" t="s">
        <v>107</v>
      </c>
      <c r="K101" s="356">
        <v>2000000</v>
      </c>
    </row>
    <row r="102" spans="1:11" ht="14.25" thickBot="1">
      <c r="A102" s="286"/>
      <c r="B102" s="286"/>
      <c r="C102" s="297"/>
      <c r="D102" s="345">
        <v>54952600</v>
      </c>
      <c r="E102" s="326">
        <f>K102</f>
        <v>55338560</v>
      </c>
      <c r="F102" s="297"/>
      <c r="G102" s="323">
        <f>E102-D102</f>
        <v>385960</v>
      </c>
      <c r="H102" s="346" t="s">
        <v>108</v>
      </c>
      <c r="I102" s="347"/>
      <c r="J102" s="348"/>
      <c r="K102" s="349">
        <f>SUM(K103:K119)</f>
        <v>55338560</v>
      </c>
    </row>
    <row r="103" spans="1:11" ht="24.95" customHeight="1">
      <c r="A103" s="286"/>
      <c r="B103" s="286"/>
      <c r="C103" s="296"/>
      <c r="D103" s="297"/>
      <c r="E103" s="286"/>
      <c r="F103" s="297"/>
      <c r="G103" s="297"/>
      <c r="H103" s="302" t="s">
        <v>420</v>
      </c>
      <c r="I103" s="359">
        <v>69966800</v>
      </c>
      <c r="J103" s="315" t="s">
        <v>340</v>
      </c>
      <c r="K103" s="351">
        <v>5828280</v>
      </c>
    </row>
    <row r="104" spans="1:11" ht="24.95" customHeight="1">
      <c r="A104" s="286"/>
      <c r="B104" s="286"/>
      <c r="C104" s="296"/>
      <c r="D104" s="297"/>
      <c r="E104" s="286"/>
      <c r="F104" s="297"/>
      <c r="G104" s="297"/>
      <c r="H104" s="306" t="s">
        <v>421</v>
      </c>
      <c r="I104" s="359">
        <v>64167660</v>
      </c>
      <c r="J104" s="315" t="s">
        <v>341</v>
      </c>
      <c r="K104" s="311">
        <v>5345150</v>
      </c>
    </row>
    <row r="105" spans="1:11" ht="24.95" customHeight="1">
      <c r="A105" s="286"/>
      <c r="B105" s="286"/>
      <c r="C105" s="296"/>
      <c r="D105" s="297"/>
      <c r="E105" s="286"/>
      <c r="F105" s="297"/>
      <c r="G105" s="297"/>
      <c r="H105" s="306" t="s">
        <v>422</v>
      </c>
      <c r="I105" s="359">
        <v>56407260</v>
      </c>
      <c r="J105" s="315" t="s">
        <v>342</v>
      </c>
      <c r="K105" s="311">
        <v>4698750</v>
      </c>
    </row>
    <row r="106" spans="1:11" ht="24.95" customHeight="1">
      <c r="A106" s="286"/>
      <c r="B106" s="286"/>
      <c r="C106" s="296"/>
      <c r="D106" s="297"/>
      <c r="E106" s="286"/>
      <c r="F106" s="297"/>
      <c r="G106" s="297"/>
      <c r="H106" s="306" t="s">
        <v>423</v>
      </c>
      <c r="I106" s="359">
        <v>52751080</v>
      </c>
      <c r="J106" s="315" t="s">
        <v>343</v>
      </c>
      <c r="K106" s="311">
        <v>4394130</v>
      </c>
    </row>
    <row r="107" spans="1:11" ht="24.95" customHeight="1">
      <c r="A107" s="286"/>
      <c r="B107" s="286"/>
      <c r="C107" s="296"/>
      <c r="D107" s="297"/>
      <c r="E107" s="286"/>
      <c r="F107" s="297"/>
      <c r="G107" s="297"/>
      <c r="H107" s="306" t="s">
        <v>424</v>
      </c>
      <c r="I107" s="359">
        <v>54495860</v>
      </c>
      <c r="J107" s="315" t="s">
        <v>344</v>
      </c>
      <c r="K107" s="311">
        <v>4539510</v>
      </c>
    </row>
    <row r="108" spans="1:11" ht="24.95" customHeight="1">
      <c r="A108" s="286"/>
      <c r="B108" s="286"/>
      <c r="C108" s="296"/>
      <c r="D108" s="297"/>
      <c r="E108" s="286"/>
      <c r="F108" s="297"/>
      <c r="G108" s="297"/>
      <c r="H108" s="309" t="s">
        <v>425</v>
      </c>
      <c r="I108" s="359">
        <v>33393960</v>
      </c>
      <c r="J108" s="315" t="s">
        <v>345</v>
      </c>
      <c r="K108" s="311">
        <v>2781740</v>
      </c>
    </row>
    <row r="109" spans="1:11" ht="24.95" customHeight="1">
      <c r="A109" s="286"/>
      <c r="B109" s="286"/>
      <c r="C109" s="296"/>
      <c r="D109" s="297"/>
      <c r="E109" s="286"/>
      <c r="F109" s="297"/>
      <c r="G109" s="297"/>
      <c r="H109" s="306" t="s">
        <v>426</v>
      </c>
      <c r="I109" s="359">
        <v>38087520</v>
      </c>
      <c r="J109" s="315" t="s">
        <v>346</v>
      </c>
      <c r="K109" s="311">
        <v>3172740</v>
      </c>
    </row>
    <row r="110" spans="1:11" ht="24.95" customHeight="1">
      <c r="A110" s="286"/>
      <c r="B110" s="286"/>
      <c r="C110" s="296"/>
      <c r="D110" s="297"/>
      <c r="E110" s="286"/>
      <c r="F110" s="297"/>
      <c r="G110" s="297"/>
      <c r="H110" s="306" t="s">
        <v>427</v>
      </c>
      <c r="I110" s="359">
        <v>38085640</v>
      </c>
      <c r="J110" s="315" t="s">
        <v>347</v>
      </c>
      <c r="K110" s="311">
        <v>3172490</v>
      </c>
    </row>
    <row r="111" spans="1:11" ht="24.95" customHeight="1">
      <c r="A111" s="286"/>
      <c r="B111" s="286"/>
      <c r="C111" s="296"/>
      <c r="D111" s="297"/>
      <c r="E111" s="286"/>
      <c r="F111" s="297"/>
      <c r="G111" s="297"/>
      <c r="H111" s="306" t="s">
        <v>428</v>
      </c>
      <c r="I111" s="359">
        <v>32094810</v>
      </c>
      <c r="J111" s="315" t="s">
        <v>348</v>
      </c>
      <c r="K111" s="311">
        <v>2673500</v>
      </c>
    </row>
    <row r="112" spans="1:11" ht="24.95" customHeight="1">
      <c r="A112" s="286"/>
      <c r="B112" s="286"/>
      <c r="C112" s="296"/>
      <c r="D112" s="297"/>
      <c r="E112" s="286"/>
      <c r="F112" s="297"/>
      <c r="G112" s="297"/>
      <c r="H112" s="306" t="s">
        <v>429</v>
      </c>
      <c r="I112" s="359">
        <v>33893580</v>
      </c>
      <c r="J112" s="315" t="s">
        <v>349</v>
      </c>
      <c r="K112" s="311">
        <v>2823300</v>
      </c>
    </row>
    <row r="113" spans="1:11" ht="24.95" customHeight="1">
      <c r="A113" s="286"/>
      <c r="B113" s="286"/>
      <c r="C113" s="296"/>
      <c r="D113" s="297"/>
      <c r="E113" s="286"/>
      <c r="F113" s="297"/>
      <c r="G113" s="297"/>
      <c r="H113" s="309" t="s">
        <v>430</v>
      </c>
      <c r="I113" s="359">
        <v>38817080</v>
      </c>
      <c r="J113" s="315" t="s">
        <v>350</v>
      </c>
      <c r="K113" s="311">
        <v>3233480</v>
      </c>
    </row>
    <row r="114" spans="1:11" ht="24.95" customHeight="1">
      <c r="A114" s="286"/>
      <c r="B114" s="286"/>
      <c r="C114" s="296"/>
      <c r="D114" s="297"/>
      <c r="E114" s="286"/>
      <c r="F114" s="297"/>
      <c r="G114" s="297"/>
      <c r="H114" s="316" t="s">
        <v>431</v>
      </c>
      <c r="I114" s="359">
        <v>40668240</v>
      </c>
      <c r="J114" s="315" t="s">
        <v>351</v>
      </c>
      <c r="K114" s="311">
        <v>3387660</v>
      </c>
    </row>
    <row r="115" spans="1:11" ht="24.95" customHeight="1">
      <c r="A115" s="286"/>
      <c r="B115" s="286"/>
      <c r="C115" s="296"/>
      <c r="D115" s="297"/>
      <c r="E115" s="286"/>
      <c r="F115" s="297"/>
      <c r="G115" s="297"/>
      <c r="H115" s="309" t="s">
        <v>432</v>
      </c>
      <c r="I115" s="359">
        <v>37458460</v>
      </c>
      <c r="J115" s="315" t="s">
        <v>352</v>
      </c>
      <c r="K115" s="311">
        <v>3120280</v>
      </c>
    </row>
    <row r="116" spans="1:11" ht="24.95" customHeight="1">
      <c r="A116" s="286"/>
      <c r="B116" s="286"/>
      <c r="C116" s="296"/>
      <c r="D116" s="297"/>
      <c r="E116" s="286"/>
      <c r="F116" s="297"/>
      <c r="G116" s="297"/>
      <c r="H116" s="309" t="s">
        <v>433</v>
      </c>
      <c r="I116" s="359">
        <v>38053320</v>
      </c>
      <c r="J116" s="315" t="s">
        <v>353</v>
      </c>
      <c r="K116" s="311">
        <v>3169840</v>
      </c>
    </row>
    <row r="117" spans="1:11" ht="24.95" customHeight="1">
      <c r="A117" s="286"/>
      <c r="B117" s="286"/>
      <c r="C117" s="296"/>
      <c r="D117" s="297"/>
      <c r="E117" s="286"/>
      <c r="F117" s="297"/>
      <c r="G117" s="297"/>
      <c r="H117" s="306" t="s">
        <v>434</v>
      </c>
      <c r="I117" s="359">
        <v>33044960</v>
      </c>
      <c r="J117" s="315" t="s">
        <v>354</v>
      </c>
      <c r="K117" s="311">
        <v>2783460</v>
      </c>
    </row>
    <row r="118" spans="1:11" ht="24.95" customHeight="1">
      <c r="A118" s="286"/>
      <c r="B118" s="286"/>
      <c r="C118" s="296"/>
      <c r="D118" s="297"/>
      <c r="E118" s="286"/>
      <c r="F118" s="297"/>
      <c r="G118" s="297"/>
      <c r="H118" s="306" t="s">
        <v>435</v>
      </c>
      <c r="I118" s="359">
        <v>2571970</v>
      </c>
      <c r="J118" s="315" t="s">
        <v>355</v>
      </c>
      <c r="K118" s="311">
        <v>214250</v>
      </c>
    </row>
    <row r="119" spans="1:11" ht="24.95" customHeight="1" thickBot="1">
      <c r="A119" s="286"/>
      <c r="B119" s="286"/>
      <c r="C119" s="296"/>
      <c r="D119" s="297"/>
      <c r="E119" s="286"/>
      <c r="F119" s="297"/>
      <c r="G119" s="297"/>
      <c r="H119" s="309"/>
      <c r="I119" s="359"/>
      <c r="J119" s="315"/>
      <c r="K119" s="311"/>
    </row>
    <row r="120" spans="1:11" ht="15" customHeight="1" thickBot="1">
      <c r="A120" s="286"/>
      <c r="B120" s="286"/>
      <c r="C120" s="296"/>
      <c r="D120" s="345">
        <v>64388360</v>
      </c>
      <c r="E120" s="326">
        <f>K120</f>
        <v>69656290</v>
      </c>
      <c r="F120" s="297"/>
      <c r="G120" s="323">
        <f>E120-D120</f>
        <v>5267930</v>
      </c>
      <c r="H120" s="1217" t="s">
        <v>25</v>
      </c>
      <c r="I120" s="1218"/>
      <c r="J120" s="520"/>
      <c r="K120" s="349">
        <f>SUM(K121:K124)</f>
        <v>69656290</v>
      </c>
    </row>
    <row r="121" spans="1:11" ht="24.6" customHeight="1">
      <c r="A121" s="286"/>
      <c r="B121" s="286"/>
      <c r="C121" s="296"/>
      <c r="D121" s="297"/>
      <c r="E121" s="298"/>
      <c r="F121" s="297"/>
      <c r="G121" s="297"/>
      <c r="H121" s="309" t="s">
        <v>109</v>
      </c>
      <c r="I121" s="421">
        <v>650368200</v>
      </c>
      <c r="J121" s="315" t="s">
        <v>416</v>
      </c>
      <c r="K121" s="351">
        <v>29072490</v>
      </c>
    </row>
    <row r="122" spans="1:11" ht="24.6" customHeight="1">
      <c r="A122" s="286"/>
      <c r="B122" s="286"/>
      <c r="C122" s="296"/>
      <c r="D122" s="297"/>
      <c r="E122" s="286"/>
      <c r="F122" s="297"/>
      <c r="G122" s="297"/>
      <c r="H122" s="350" t="s">
        <v>415</v>
      </c>
      <c r="I122" s="422">
        <v>650368200</v>
      </c>
      <c r="J122" s="423" t="s">
        <v>417</v>
      </c>
      <c r="K122" s="351">
        <f>22159780+2552790</f>
        <v>24712570</v>
      </c>
    </row>
    <row r="123" spans="1:11" ht="24.6" customHeight="1">
      <c r="A123" s="286"/>
      <c r="B123" s="286"/>
      <c r="C123" s="296"/>
      <c r="D123" s="297"/>
      <c r="E123" s="286"/>
      <c r="F123" s="297"/>
      <c r="G123" s="297"/>
      <c r="H123" s="309" t="s">
        <v>111</v>
      </c>
      <c r="I123" s="421">
        <v>650368200</v>
      </c>
      <c r="J123" s="315" t="s">
        <v>418</v>
      </c>
      <c r="K123" s="311">
        <v>10732530</v>
      </c>
    </row>
    <row r="124" spans="1:11" ht="24.6" customHeight="1" thickBot="1">
      <c r="A124" s="286"/>
      <c r="B124" s="286"/>
      <c r="C124" s="286"/>
      <c r="D124" s="360"/>
      <c r="E124" s="340"/>
      <c r="F124" s="297"/>
      <c r="G124" s="328"/>
      <c r="H124" s="361" t="s">
        <v>112</v>
      </c>
      <c r="I124" s="424">
        <v>650368200</v>
      </c>
      <c r="J124" s="425" t="s">
        <v>419</v>
      </c>
      <c r="K124" s="362">
        <v>5138700</v>
      </c>
    </row>
    <row r="125" spans="1:11" ht="14.25" thickBot="1">
      <c r="A125" s="286"/>
      <c r="B125" s="286"/>
      <c r="C125" s="282" t="s">
        <v>188</v>
      </c>
      <c r="D125" s="345">
        <v>73344000</v>
      </c>
      <c r="E125" s="345">
        <f>K125</f>
        <v>64359360</v>
      </c>
      <c r="F125" s="321"/>
      <c r="G125" s="323">
        <f>E125-D125</f>
        <v>-8984640</v>
      </c>
      <c r="H125" s="346" t="s">
        <v>188</v>
      </c>
      <c r="I125" s="347"/>
      <c r="J125" s="348"/>
      <c r="K125" s="349">
        <f>SUM(K126)</f>
        <v>64359360</v>
      </c>
    </row>
    <row r="126" spans="1:11" ht="53.25" customHeight="1" thickBot="1">
      <c r="A126" s="286"/>
      <c r="B126" s="286"/>
      <c r="C126" s="286"/>
      <c r="D126" s="360"/>
      <c r="E126" s="360"/>
      <c r="F126" s="360"/>
      <c r="G126" s="360"/>
      <c r="H126" s="1219" t="s">
        <v>359</v>
      </c>
      <c r="I126" s="1220"/>
      <c r="J126" s="1221"/>
      <c r="K126" s="356">
        <v>64359360</v>
      </c>
    </row>
    <row r="127" spans="1:11" ht="14.25" thickBot="1">
      <c r="A127" s="286"/>
      <c r="B127" s="286"/>
      <c r="C127" s="282" t="s">
        <v>113</v>
      </c>
      <c r="D127" s="345">
        <v>229650000</v>
      </c>
      <c r="E127" s="345">
        <f>K127</f>
        <v>282650550</v>
      </c>
      <c r="F127" s="321"/>
      <c r="G127" s="323">
        <f>E127-D127</f>
        <v>53000550</v>
      </c>
      <c r="H127" s="346" t="s">
        <v>113</v>
      </c>
      <c r="I127" s="347"/>
      <c r="J127" s="348"/>
      <c r="K127" s="349">
        <f>SUM(K128:K130)</f>
        <v>282650550</v>
      </c>
    </row>
    <row r="128" spans="1:11" ht="54.75" customHeight="1">
      <c r="A128" s="286"/>
      <c r="B128" s="286"/>
      <c r="C128" s="286"/>
      <c r="D128" s="360" t="s">
        <v>361</v>
      </c>
      <c r="E128" s="360" t="s">
        <v>362</v>
      </c>
      <c r="F128" s="360"/>
      <c r="G128" s="360"/>
      <c r="H128" s="1222" t="s">
        <v>356</v>
      </c>
      <c r="I128" s="1223"/>
      <c r="J128" s="1224"/>
      <c r="K128" s="363">
        <v>155820000</v>
      </c>
    </row>
    <row r="129" spans="1:11" ht="55.5" customHeight="1">
      <c r="A129" s="286"/>
      <c r="B129" s="286"/>
      <c r="C129" s="286"/>
      <c r="D129" s="360"/>
      <c r="E129" s="360"/>
      <c r="F129" s="360"/>
      <c r="G129" s="360"/>
      <c r="H129" s="1219" t="s">
        <v>357</v>
      </c>
      <c r="I129" s="1220"/>
      <c r="J129" s="1221"/>
      <c r="K129" s="356">
        <v>103215000</v>
      </c>
    </row>
    <row r="130" spans="1:11" ht="48" customHeight="1" thickBot="1">
      <c r="A130" s="286"/>
      <c r="B130" s="286"/>
      <c r="C130" s="286"/>
      <c r="D130" s="360"/>
      <c r="E130" s="360"/>
      <c r="F130" s="360"/>
      <c r="G130" s="360"/>
      <c r="H130" s="1219" t="s">
        <v>358</v>
      </c>
      <c r="I130" s="1220"/>
      <c r="J130" s="1221"/>
      <c r="K130" s="356">
        <v>23615550</v>
      </c>
    </row>
    <row r="131" spans="1:11" ht="14.25" hidden="1" thickBot="1">
      <c r="A131" s="286"/>
      <c r="B131" s="286"/>
      <c r="C131" s="282"/>
      <c r="D131" s="345"/>
      <c r="E131" s="326"/>
      <c r="F131" s="321"/>
      <c r="G131" s="323"/>
      <c r="H131" s="517"/>
      <c r="I131" s="519"/>
      <c r="J131" s="520"/>
      <c r="K131" s="349"/>
    </row>
    <row r="132" spans="1:11" ht="23.25" hidden="1" customHeight="1" thickBot="1">
      <c r="A132" s="286"/>
      <c r="B132" s="286"/>
      <c r="C132" s="286"/>
      <c r="D132" s="360"/>
      <c r="E132" s="286"/>
      <c r="F132" s="360"/>
      <c r="G132" s="297"/>
      <c r="H132" s="364"/>
      <c r="I132" s="1225"/>
      <c r="J132" s="1226"/>
      <c r="K132" s="356"/>
    </row>
    <row r="133" spans="1:11" ht="14.25" thickBot="1">
      <c r="A133" s="286"/>
      <c r="B133" s="286"/>
      <c r="C133" s="282" t="s">
        <v>232</v>
      </c>
      <c r="D133" s="345">
        <v>48000000</v>
      </c>
      <c r="E133" s="326">
        <f>K133</f>
        <v>32431000</v>
      </c>
      <c r="F133" s="321"/>
      <c r="G133" s="323">
        <f>E133-D133</f>
        <v>-15569000</v>
      </c>
      <c r="H133" s="346" t="s">
        <v>114</v>
      </c>
      <c r="I133" s="347"/>
      <c r="J133" s="348"/>
      <c r="K133" s="349">
        <f>K134</f>
        <v>32431000</v>
      </c>
    </row>
    <row r="134" spans="1:11" ht="59.25" customHeight="1" thickBot="1">
      <c r="A134" s="286"/>
      <c r="B134" s="286"/>
      <c r="C134" s="286"/>
      <c r="D134" s="360"/>
      <c r="E134" s="360"/>
      <c r="F134" s="360"/>
      <c r="G134" s="360"/>
      <c r="H134" s="1227" t="s">
        <v>363</v>
      </c>
      <c r="I134" s="1228"/>
      <c r="J134" s="1229"/>
      <c r="K134" s="356">
        <v>32431000</v>
      </c>
    </row>
    <row r="135" spans="1:11" ht="14.25" thickBot="1">
      <c r="A135" s="286"/>
      <c r="B135" s="286"/>
      <c r="C135" s="282" t="s">
        <v>116</v>
      </c>
      <c r="D135" s="345">
        <v>446184772</v>
      </c>
      <c r="E135" s="345">
        <f>K135</f>
        <v>429529772</v>
      </c>
      <c r="F135" s="321"/>
      <c r="G135" s="282">
        <f>E135-D135</f>
        <v>-16655000</v>
      </c>
      <c r="H135" s="346" t="s">
        <v>116</v>
      </c>
      <c r="I135" s="365"/>
      <c r="J135" s="366"/>
      <c r="K135" s="349">
        <f>K136+K138+K140</f>
        <v>429529772</v>
      </c>
    </row>
    <row r="136" spans="1:11" ht="14.25" thickBot="1">
      <c r="A136" s="286"/>
      <c r="B136" s="286"/>
      <c r="C136" s="286"/>
      <c r="D136" s="360"/>
      <c r="E136" s="360"/>
      <c r="F136" s="360"/>
      <c r="G136" s="360"/>
      <c r="H136" s="346" t="s">
        <v>117</v>
      </c>
      <c r="I136" s="347"/>
      <c r="J136" s="348"/>
      <c r="K136" s="349">
        <f>SUM(K137)</f>
        <v>161910320</v>
      </c>
    </row>
    <row r="137" spans="1:11" ht="14.25" thickBot="1">
      <c r="A137" s="286"/>
      <c r="B137" s="286"/>
      <c r="C137" s="296"/>
      <c r="D137" s="297"/>
      <c r="E137" s="286"/>
      <c r="F137" s="297"/>
      <c r="G137" s="297"/>
      <c r="H137" s="279" t="s">
        <v>118</v>
      </c>
      <c r="I137" s="367"/>
      <c r="J137" s="368"/>
      <c r="K137" s="369">
        <v>161910320</v>
      </c>
    </row>
    <row r="138" spans="1:11" ht="14.25" thickBot="1">
      <c r="A138" s="286"/>
      <c r="B138" s="286"/>
      <c r="C138" s="296"/>
      <c r="D138" s="297"/>
      <c r="E138" s="286"/>
      <c r="F138" s="297"/>
      <c r="G138" s="297"/>
      <c r="H138" s="1209" t="s">
        <v>119</v>
      </c>
      <c r="I138" s="1210"/>
      <c r="J138" s="370"/>
      <c r="K138" s="301">
        <f>K139</f>
        <v>226674452</v>
      </c>
    </row>
    <row r="139" spans="1:11" ht="14.25" thickBot="1">
      <c r="A139" s="286"/>
      <c r="B139" s="286"/>
      <c r="C139" s="296"/>
      <c r="D139" s="297"/>
      <c r="E139" s="286"/>
      <c r="F139" s="297"/>
      <c r="G139" s="297"/>
      <c r="H139" s="279" t="s">
        <v>120</v>
      </c>
      <c r="I139" s="367"/>
      <c r="J139" s="368"/>
      <c r="K139" s="369">
        <v>226674452</v>
      </c>
    </row>
    <row r="140" spans="1:11" ht="14.25" thickBot="1">
      <c r="A140" s="286"/>
      <c r="B140" s="286"/>
      <c r="C140" s="286"/>
      <c r="D140" s="360"/>
      <c r="E140" s="286"/>
      <c r="F140" s="297"/>
      <c r="G140" s="360"/>
      <c r="H140" s="294" t="s">
        <v>121</v>
      </c>
      <c r="I140" s="299"/>
      <c r="J140" s="300"/>
      <c r="K140" s="371">
        <f>SUM(K141:K144)</f>
        <v>40945000</v>
      </c>
    </row>
    <row r="141" spans="1:11">
      <c r="A141" s="286"/>
      <c r="B141" s="286"/>
      <c r="C141" s="296"/>
      <c r="D141" s="297"/>
      <c r="E141" s="286"/>
      <c r="F141" s="297"/>
      <c r="G141" s="297"/>
      <c r="H141" s="279" t="s">
        <v>437</v>
      </c>
      <c r="I141" s="372"/>
      <c r="J141" s="372"/>
      <c r="K141" s="373">
        <v>36925000</v>
      </c>
    </row>
    <row r="142" spans="1:11" ht="22.5">
      <c r="A142" s="286"/>
      <c r="B142" s="286"/>
      <c r="C142" s="296"/>
      <c r="D142" s="297"/>
      <c r="E142" s="286"/>
      <c r="F142" s="297"/>
      <c r="G142" s="297"/>
      <c r="H142" s="446" t="s">
        <v>408</v>
      </c>
      <c r="I142" s="374"/>
      <c r="J142" s="374"/>
      <c r="K142" s="375">
        <v>2280000</v>
      </c>
    </row>
    <row r="143" spans="1:11">
      <c r="A143" s="286"/>
      <c r="B143" s="286"/>
      <c r="C143" s="296"/>
      <c r="D143" s="297"/>
      <c r="E143" s="286"/>
      <c r="F143" s="297"/>
      <c r="G143" s="297"/>
      <c r="H143" s="279" t="s">
        <v>364</v>
      </c>
      <c r="I143" s="367"/>
      <c r="J143" s="367"/>
      <c r="K143" s="376">
        <v>740000</v>
      </c>
    </row>
    <row r="144" spans="1:11" ht="14.25" thickBot="1">
      <c r="A144" s="286"/>
      <c r="B144" s="286"/>
      <c r="C144" s="296"/>
      <c r="D144" s="297"/>
      <c r="E144" s="340"/>
      <c r="F144" s="297"/>
      <c r="G144" s="297"/>
      <c r="H144" s="279" t="s">
        <v>365</v>
      </c>
      <c r="I144" s="367"/>
      <c r="J144" s="367"/>
      <c r="K144" s="376">
        <v>1000000</v>
      </c>
    </row>
    <row r="145" spans="1:11" ht="14.25" thickBot="1">
      <c r="A145" s="282" t="s">
        <v>34</v>
      </c>
      <c r="B145" s="282"/>
      <c r="C145" s="282" t="s">
        <v>42</v>
      </c>
      <c r="D145" s="377">
        <f>D146</f>
        <v>20000000</v>
      </c>
      <c r="E145" s="378">
        <f>E146</f>
        <v>20000000</v>
      </c>
      <c r="F145" s="322"/>
      <c r="G145" s="323">
        <f>E145-D145</f>
        <v>0</v>
      </c>
      <c r="H145" s="379"/>
      <c r="I145" s="380"/>
      <c r="J145" s="380"/>
      <c r="K145" s="371">
        <f>K146</f>
        <v>20000000</v>
      </c>
    </row>
    <row r="146" spans="1:11" s="374" customFormat="1" ht="14.25" thickBot="1">
      <c r="A146" s="286"/>
      <c r="B146" s="282" t="s">
        <v>34</v>
      </c>
      <c r="C146" s="282"/>
      <c r="D146" s="377">
        <f>D147</f>
        <v>20000000</v>
      </c>
      <c r="E146" s="378">
        <f>E147</f>
        <v>20000000</v>
      </c>
      <c r="F146" s="322"/>
      <c r="G146" s="323">
        <f>E146-D146</f>
        <v>0</v>
      </c>
      <c r="H146" s="379"/>
      <c r="I146" s="380"/>
      <c r="J146" s="370"/>
      <c r="K146" s="301">
        <f>K147</f>
        <v>20000000</v>
      </c>
    </row>
    <row r="147" spans="1:11" s="374" customFormat="1" ht="14.25" thickBot="1">
      <c r="A147" s="286"/>
      <c r="B147" s="286"/>
      <c r="C147" s="340" t="s">
        <v>126</v>
      </c>
      <c r="D147" s="381">
        <v>20000000</v>
      </c>
      <c r="E147" s="382">
        <f>K147</f>
        <v>20000000</v>
      </c>
      <c r="F147" s="327"/>
      <c r="G147" s="328">
        <f>E147-D147</f>
        <v>0</v>
      </c>
      <c r="H147" s="329" t="s">
        <v>126</v>
      </c>
      <c r="I147" s="330"/>
      <c r="J147" s="331"/>
      <c r="K147" s="332">
        <v>20000000</v>
      </c>
    </row>
    <row r="148" spans="1:11" ht="15" customHeight="1" thickBot="1">
      <c r="A148" s="286"/>
      <c r="B148" s="286"/>
      <c r="C148" s="296"/>
      <c r="D148" s="383"/>
      <c r="E148" s="382"/>
      <c r="F148" s="297"/>
      <c r="G148" s="297"/>
      <c r="H148" s="294"/>
      <c r="I148" s="299"/>
      <c r="J148" s="300"/>
      <c r="K148" s="301"/>
    </row>
    <row r="149" spans="1:11" ht="15" customHeight="1" thickBot="1">
      <c r="A149" s="282" t="s">
        <v>35</v>
      </c>
      <c r="B149" s="282"/>
      <c r="C149" s="282"/>
      <c r="D149" s="384">
        <f>D150</f>
        <v>15120000</v>
      </c>
      <c r="E149" s="384">
        <f>E150</f>
        <v>15340000</v>
      </c>
      <c r="F149" s="321"/>
      <c r="G149" s="321">
        <f>E149-D149</f>
        <v>220000</v>
      </c>
      <c r="H149" s="379"/>
      <c r="I149" s="380"/>
      <c r="J149" s="370"/>
      <c r="K149" s="301">
        <f>K150</f>
        <v>15340000</v>
      </c>
    </row>
    <row r="150" spans="1:11" ht="15" customHeight="1" thickBot="1">
      <c r="A150" s="286"/>
      <c r="B150" s="282" t="s">
        <v>35</v>
      </c>
      <c r="C150" s="282" t="s">
        <v>35</v>
      </c>
      <c r="D150" s="384">
        <f>D151+D152+D153+D154</f>
        <v>15120000</v>
      </c>
      <c r="E150" s="384">
        <f>E151+E152+E153+E154</f>
        <v>15340000</v>
      </c>
      <c r="F150" s="321"/>
      <c r="G150" s="321">
        <f>E150-D150</f>
        <v>220000</v>
      </c>
      <c r="H150" s="516" t="s">
        <v>35</v>
      </c>
      <c r="I150" s="299"/>
      <c r="J150" s="300"/>
      <c r="K150" s="301">
        <f>SUM(K151:K154)</f>
        <v>15340000</v>
      </c>
    </row>
    <row r="151" spans="1:11" ht="15" customHeight="1">
      <c r="A151" s="286"/>
      <c r="B151" s="286"/>
      <c r="C151" s="385" t="s">
        <v>208</v>
      </c>
      <c r="D151" s="386">
        <v>6300000</v>
      </c>
      <c r="E151" s="386">
        <f>K151</f>
        <v>4300000</v>
      </c>
      <c r="F151" s="360"/>
      <c r="G151" s="360">
        <f>E151-D151</f>
        <v>-2000000</v>
      </c>
      <c r="H151" s="387" t="s">
        <v>366</v>
      </c>
      <c r="I151" s="372"/>
      <c r="J151" s="388"/>
      <c r="K151" s="369">
        <v>4300000</v>
      </c>
    </row>
    <row r="152" spans="1:11" ht="15" customHeight="1">
      <c r="A152" s="286"/>
      <c r="B152" s="286"/>
      <c r="C152" s="286" t="s">
        <v>209</v>
      </c>
      <c r="D152" s="386">
        <v>8820000</v>
      </c>
      <c r="E152" s="386">
        <f>K152</f>
        <v>11040000</v>
      </c>
      <c r="F152" s="360"/>
      <c r="G152" s="360">
        <f>E152-D152</f>
        <v>2220000</v>
      </c>
      <c r="H152" s="389" t="s">
        <v>367</v>
      </c>
      <c r="I152" s="390"/>
      <c r="J152" s="391"/>
      <c r="K152" s="369">
        <v>11040000</v>
      </c>
    </row>
    <row r="153" spans="1:11" ht="14.25" hidden="1" customHeight="1">
      <c r="A153" s="286"/>
      <c r="B153" s="286"/>
      <c r="C153" s="392"/>
      <c r="D153" s="393"/>
      <c r="E153" s="393"/>
      <c r="F153" s="393"/>
      <c r="G153" s="393"/>
      <c r="H153" s="389"/>
      <c r="I153" s="390"/>
      <c r="J153" s="391"/>
      <c r="K153" s="369"/>
    </row>
    <row r="154" spans="1:11" ht="15" customHeight="1" thickBot="1">
      <c r="A154" s="286"/>
      <c r="B154" s="286"/>
      <c r="C154" s="286"/>
      <c r="D154" s="360"/>
      <c r="E154" s="360"/>
      <c r="F154" s="360"/>
      <c r="G154" s="360"/>
      <c r="H154" s="387"/>
      <c r="I154" s="372"/>
      <c r="J154" s="388"/>
      <c r="K154" s="369"/>
    </row>
    <row r="155" spans="1:11" ht="15" customHeight="1" thickBot="1">
      <c r="A155" s="282" t="s">
        <v>36</v>
      </c>
      <c r="B155" s="282"/>
      <c r="C155" s="282" t="s">
        <v>42</v>
      </c>
      <c r="D155" s="321">
        <f>D156</f>
        <v>10800000</v>
      </c>
      <c r="E155" s="321">
        <f>E156</f>
        <v>13210120</v>
      </c>
      <c r="F155" s="321"/>
      <c r="G155" s="321">
        <f t="shared" ref="G155:G168" si="1">E155-D155</f>
        <v>2410120</v>
      </c>
      <c r="H155" s="379"/>
      <c r="I155" s="380"/>
      <c r="J155" s="370"/>
      <c r="K155" s="301">
        <f>K156</f>
        <v>13210120</v>
      </c>
    </row>
    <row r="156" spans="1:11" ht="15" customHeight="1" thickBot="1">
      <c r="A156" s="286"/>
      <c r="B156" s="282" t="s">
        <v>36</v>
      </c>
      <c r="C156" s="282"/>
      <c r="D156" s="321">
        <f>D157+D158+D159</f>
        <v>10800000</v>
      </c>
      <c r="E156" s="321">
        <f>E157+E158+E159</f>
        <v>13210120</v>
      </c>
      <c r="F156" s="321"/>
      <c r="G156" s="321">
        <f t="shared" si="1"/>
        <v>2410120</v>
      </c>
      <c r="H156" s="294" t="s">
        <v>36</v>
      </c>
      <c r="I156" s="299"/>
      <c r="J156" s="300"/>
      <c r="K156" s="301">
        <f>SUM(K157:K160)</f>
        <v>13210120</v>
      </c>
    </row>
    <row r="157" spans="1:11">
      <c r="A157" s="286"/>
      <c r="B157" s="286"/>
      <c r="C157" s="298" t="s">
        <v>260</v>
      </c>
      <c r="D157" s="394">
        <v>10800000</v>
      </c>
      <c r="E157" s="394">
        <f t="shared" ref="E157:E159" si="2">K157</f>
        <v>12600000</v>
      </c>
      <c r="F157" s="394"/>
      <c r="G157" s="394">
        <f t="shared" si="1"/>
        <v>1800000</v>
      </c>
      <c r="H157" s="279" t="s">
        <v>260</v>
      </c>
      <c r="I157" s="395"/>
      <c r="J157" s="396"/>
      <c r="K157" s="397">
        <v>12600000</v>
      </c>
    </row>
    <row r="158" spans="1:11">
      <c r="A158" s="286"/>
      <c r="B158" s="286"/>
      <c r="C158" s="286" t="s">
        <v>237</v>
      </c>
      <c r="D158" s="360"/>
      <c r="E158" s="360">
        <f t="shared" si="2"/>
        <v>0</v>
      </c>
      <c r="F158" s="360"/>
      <c r="G158" s="360">
        <f t="shared" si="1"/>
        <v>0</v>
      </c>
      <c r="H158" s="279" t="s">
        <v>237</v>
      </c>
      <c r="I158" s="372"/>
      <c r="J158" s="388"/>
      <c r="K158" s="369">
        <v>0</v>
      </c>
    </row>
    <row r="159" spans="1:11" ht="14.25" thickBot="1">
      <c r="A159" s="286"/>
      <c r="B159" s="286"/>
      <c r="C159" s="445" t="s">
        <v>129</v>
      </c>
      <c r="D159" s="360">
        <v>0</v>
      </c>
      <c r="E159" s="360">
        <f t="shared" si="2"/>
        <v>610120</v>
      </c>
      <c r="F159" s="360"/>
      <c r="G159" s="360">
        <f t="shared" si="1"/>
        <v>610120</v>
      </c>
      <c r="H159" s="279" t="s">
        <v>439</v>
      </c>
      <c r="I159" s="372"/>
      <c r="J159" s="388"/>
      <c r="K159" s="369">
        <v>610120</v>
      </c>
    </row>
    <row r="160" spans="1:11" ht="14.25" hidden="1" thickBot="1">
      <c r="A160" s="286"/>
      <c r="B160" s="286"/>
      <c r="C160" s="286"/>
      <c r="D160" s="360"/>
      <c r="E160" s="360"/>
      <c r="F160" s="360"/>
      <c r="G160" s="360">
        <f t="shared" si="1"/>
        <v>0</v>
      </c>
      <c r="H160" s="279"/>
      <c r="I160" s="367"/>
      <c r="J160" s="368"/>
      <c r="K160" s="369"/>
    </row>
    <row r="161" spans="1:11" ht="15" hidden="1" customHeight="1" thickBot="1">
      <c r="A161" s="286"/>
      <c r="B161" s="286"/>
      <c r="C161" s="286"/>
      <c r="D161" s="360"/>
      <c r="E161" s="360"/>
      <c r="F161" s="360"/>
      <c r="G161" s="360">
        <f t="shared" si="1"/>
        <v>0</v>
      </c>
      <c r="H161" s="353"/>
      <c r="I161" s="354"/>
      <c r="J161" s="355"/>
      <c r="K161" s="369"/>
    </row>
    <row r="162" spans="1:11" ht="14.25" thickBot="1">
      <c r="A162" s="282" t="s">
        <v>130</v>
      </c>
      <c r="B162" s="282"/>
      <c r="C162" s="282"/>
      <c r="D162" s="434">
        <f>D163</f>
        <v>108302531</v>
      </c>
      <c r="E162" s="434">
        <f>E163</f>
        <v>126741207</v>
      </c>
      <c r="F162" s="321"/>
      <c r="G162" s="321">
        <f t="shared" si="1"/>
        <v>18438676</v>
      </c>
      <c r="H162" s="379"/>
      <c r="I162" s="380"/>
      <c r="J162" s="370"/>
      <c r="K162" s="301">
        <f>K163</f>
        <v>126741207</v>
      </c>
    </row>
    <row r="163" spans="1:11" s="374" customFormat="1" ht="14.25" thickBot="1">
      <c r="A163" s="398"/>
      <c r="B163" s="398" t="s">
        <v>130</v>
      </c>
      <c r="C163" s="282" t="s">
        <v>42</v>
      </c>
      <c r="D163" s="434">
        <f>SUM(D164:D169)</f>
        <v>108302531</v>
      </c>
      <c r="E163" s="434">
        <f>SUM(E164:E169)</f>
        <v>126741207</v>
      </c>
      <c r="F163" s="321"/>
      <c r="G163" s="321">
        <f t="shared" si="1"/>
        <v>18438676</v>
      </c>
      <c r="H163" s="294" t="s">
        <v>130</v>
      </c>
      <c r="I163" s="380"/>
      <c r="J163" s="370"/>
      <c r="K163" s="301">
        <f>SUM(K164:K169)</f>
        <v>126741207</v>
      </c>
    </row>
    <row r="164" spans="1:11" s="374" customFormat="1">
      <c r="A164" s="399"/>
      <c r="B164" s="399"/>
      <c r="C164" s="400" t="s">
        <v>368</v>
      </c>
      <c r="D164" s="433">
        <v>39099988</v>
      </c>
      <c r="E164" s="433">
        <f t="shared" ref="E164:E168" si="3">K164</f>
        <v>53740178</v>
      </c>
      <c r="F164" s="401"/>
      <c r="G164" s="401">
        <f t="shared" si="1"/>
        <v>14640190</v>
      </c>
      <c r="H164" s="402" t="s">
        <v>440</v>
      </c>
      <c r="I164" s="403"/>
      <c r="J164" s="404"/>
      <c r="K164" s="405">
        <f>5273475+48259959+206744</f>
        <v>53740178</v>
      </c>
    </row>
    <row r="165" spans="1:11" s="374" customFormat="1">
      <c r="A165" s="399"/>
      <c r="B165" s="399"/>
      <c r="C165" s="399" t="s">
        <v>369</v>
      </c>
      <c r="D165" s="401">
        <v>5500000</v>
      </c>
      <c r="E165" s="401">
        <f t="shared" si="3"/>
        <v>7474069</v>
      </c>
      <c r="F165" s="406"/>
      <c r="G165" s="406">
        <f t="shared" si="1"/>
        <v>1974069</v>
      </c>
      <c r="H165" s="402" t="s">
        <v>370</v>
      </c>
      <c r="I165" s="403"/>
      <c r="J165" s="404"/>
      <c r="K165" s="407">
        <v>7474069</v>
      </c>
    </row>
    <row r="166" spans="1:11" s="374" customFormat="1">
      <c r="A166" s="399"/>
      <c r="B166" s="399"/>
      <c r="C166" s="399" t="s">
        <v>238</v>
      </c>
      <c r="D166" s="437">
        <v>44000000</v>
      </c>
      <c r="E166" s="437">
        <f t="shared" si="3"/>
        <v>44619702</v>
      </c>
      <c r="F166" s="406"/>
      <c r="G166" s="406">
        <f t="shared" si="1"/>
        <v>619702</v>
      </c>
      <c r="H166" s="402" t="s">
        <v>371</v>
      </c>
      <c r="I166" s="403"/>
      <c r="J166" s="404"/>
      <c r="K166" s="407">
        <f>44570907+48795</f>
        <v>44619702</v>
      </c>
    </row>
    <row r="167" spans="1:11" s="374" customFormat="1">
      <c r="A167" s="408"/>
      <c r="B167" s="408"/>
      <c r="C167" s="409" t="s">
        <v>239</v>
      </c>
      <c r="D167" s="438">
        <v>9000000</v>
      </c>
      <c r="E167" s="438">
        <f t="shared" si="3"/>
        <v>10194261</v>
      </c>
      <c r="F167" s="410"/>
      <c r="G167" s="410">
        <f t="shared" si="1"/>
        <v>1194261</v>
      </c>
      <c r="H167" s="411" t="s">
        <v>372</v>
      </c>
      <c r="J167" s="412"/>
      <c r="K167" s="413">
        <v>10194261</v>
      </c>
    </row>
    <row r="168" spans="1:11" s="374" customFormat="1">
      <c r="A168" s="286"/>
      <c r="B168" s="286"/>
      <c r="C168" s="409" t="s">
        <v>240</v>
      </c>
      <c r="D168" s="435">
        <v>10702543</v>
      </c>
      <c r="E168" s="435">
        <f t="shared" si="3"/>
        <v>10712997</v>
      </c>
      <c r="F168" s="410"/>
      <c r="G168" s="410">
        <f t="shared" si="1"/>
        <v>10454</v>
      </c>
      <c r="H168" s="279" t="s">
        <v>373</v>
      </c>
      <c r="J168" s="412"/>
      <c r="K168" s="413">
        <v>10712997</v>
      </c>
    </row>
    <row r="169" spans="1:11" ht="14.25" thickBot="1">
      <c r="A169" s="414"/>
      <c r="B169" s="414"/>
      <c r="C169" s="415"/>
      <c r="D169" s="436"/>
      <c r="E169" s="436"/>
      <c r="F169" s="416"/>
      <c r="G169" s="416"/>
      <c r="H169" s="417"/>
      <c r="I169" s="418"/>
      <c r="J169" s="419"/>
      <c r="K169" s="420"/>
    </row>
  </sheetData>
  <mergeCells count="33">
    <mergeCell ref="A1:K1"/>
    <mergeCell ref="A2:K2"/>
    <mergeCell ref="A3:C3"/>
    <mergeCell ref="D3:D4"/>
    <mergeCell ref="E3:E4"/>
    <mergeCell ref="F3:F4"/>
    <mergeCell ref="G3:G4"/>
    <mergeCell ref="H3:J4"/>
    <mergeCell ref="K3:K4"/>
    <mergeCell ref="I75:J75"/>
    <mergeCell ref="A5:C5"/>
    <mergeCell ref="H8:J8"/>
    <mergeCell ref="H12:J12"/>
    <mergeCell ref="H31:J31"/>
    <mergeCell ref="I68:J68"/>
    <mergeCell ref="I69:J69"/>
    <mergeCell ref="I70:J70"/>
    <mergeCell ref="I71:J71"/>
    <mergeCell ref="I72:J72"/>
    <mergeCell ref="I73:J73"/>
    <mergeCell ref="I74:J74"/>
    <mergeCell ref="H138:I138"/>
    <mergeCell ref="I76:J76"/>
    <mergeCell ref="I77:J77"/>
    <mergeCell ref="I78:J78"/>
    <mergeCell ref="I79:J79"/>
    <mergeCell ref="H120:I120"/>
    <mergeCell ref="H126:J126"/>
    <mergeCell ref="H128:J128"/>
    <mergeCell ref="H129:J129"/>
    <mergeCell ref="H130:J130"/>
    <mergeCell ref="I132:J132"/>
    <mergeCell ref="H134:J134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62" fitToHeight="0" orientation="landscape" r:id="rId1"/>
  <headerFooter alignWithMargins="0"/>
  <rowBreaks count="5" manualBreakCount="5">
    <brk id="31" max="10" man="1"/>
    <brk id="66" max="10" man="1"/>
    <brk id="126" max="10" man="1"/>
    <brk id="145" max="10" man="1"/>
    <brk id="172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6F57-646D-485A-B171-6B3ECDB0EA77}">
  <sheetPr>
    <pageSetUpPr fitToPage="1"/>
  </sheetPr>
  <dimension ref="A1:R232"/>
  <sheetViews>
    <sheetView tabSelected="1" view="pageBreakPreview" topLeftCell="D1" zoomScale="85" zoomScaleNormal="70" zoomScaleSheetLayoutView="85" zoomScalePageLayoutView="70" workbookViewId="0">
      <selection activeCell="L20" sqref="L20"/>
    </sheetView>
  </sheetViews>
  <sheetFormatPr defaultRowHeight="14.25"/>
  <cols>
    <col min="1" max="1" width="19.21875" style="879" bestFit="1" customWidth="1"/>
    <col min="2" max="2" width="12.5546875" style="879" bestFit="1" customWidth="1"/>
    <col min="3" max="3" width="19.21875" style="879" bestFit="1" customWidth="1"/>
    <col min="4" max="5" width="19.6640625" style="879" bestFit="1" customWidth="1"/>
    <col min="6" max="6" width="19.6640625" style="879" hidden="1" customWidth="1"/>
    <col min="7" max="7" width="19.77734375" style="879" customWidth="1"/>
    <col min="8" max="8" width="49.44140625" style="879" bestFit="1" customWidth="1"/>
    <col min="9" max="9" width="17.33203125" style="881" bestFit="1" customWidth="1"/>
    <col min="10" max="10" width="6.21875" style="879" bestFit="1" customWidth="1"/>
    <col min="11" max="11" width="11.44140625" style="879" bestFit="1" customWidth="1"/>
    <col min="12" max="12" width="45" style="879" bestFit="1" customWidth="1"/>
    <col min="13" max="13" width="9.21875" style="879" bestFit="1" customWidth="1"/>
    <col min="14" max="14" width="19.6640625" style="879" bestFit="1" customWidth="1"/>
    <col min="15" max="15" width="12.6640625" style="522" customWidth="1"/>
    <col min="16" max="16" width="13.77734375" style="522" bestFit="1" customWidth="1"/>
    <col min="17" max="17" width="14.109375" style="522" bestFit="1" customWidth="1"/>
    <col min="18" max="18" width="13.77734375" style="522" bestFit="1" customWidth="1"/>
    <col min="19" max="19" width="15.88671875" style="522" customWidth="1"/>
    <col min="20" max="259" width="8.88671875" style="522"/>
    <col min="260" max="260" width="8.6640625" style="522" customWidth="1"/>
    <col min="261" max="261" width="7.88671875" style="522" customWidth="1"/>
    <col min="262" max="262" width="19.109375" style="522" bestFit="1" customWidth="1"/>
    <col min="263" max="264" width="13.77734375" style="522" customWidth="1"/>
    <col min="265" max="265" width="0" style="522" hidden="1" customWidth="1"/>
    <col min="266" max="266" width="13.77734375" style="522" customWidth="1"/>
    <col min="267" max="267" width="62.44140625" style="522" bestFit="1" customWidth="1"/>
    <col min="268" max="268" width="10.6640625" style="522" customWidth="1"/>
    <col min="269" max="269" width="20.109375" style="522" customWidth="1"/>
    <col min="270" max="270" width="13.88671875" style="522" bestFit="1" customWidth="1"/>
    <col min="271" max="271" width="12.6640625" style="522" customWidth="1"/>
    <col min="272" max="272" width="12.6640625" style="522" bestFit="1" customWidth="1"/>
    <col min="273" max="273" width="14.109375" style="522" bestFit="1" customWidth="1"/>
    <col min="274" max="274" width="8.88671875" style="522"/>
    <col min="275" max="275" width="15.88671875" style="522" customWidth="1"/>
    <col min="276" max="515" width="8.88671875" style="522"/>
    <col min="516" max="516" width="8.6640625" style="522" customWidth="1"/>
    <col min="517" max="517" width="7.88671875" style="522" customWidth="1"/>
    <col min="518" max="518" width="19.109375" style="522" bestFit="1" customWidth="1"/>
    <col min="519" max="520" width="13.77734375" style="522" customWidth="1"/>
    <col min="521" max="521" width="0" style="522" hidden="1" customWidth="1"/>
    <col min="522" max="522" width="13.77734375" style="522" customWidth="1"/>
    <col min="523" max="523" width="62.44140625" style="522" bestFit="1" customWidth="1"/>
    <col min="524" max="524" width="10.6640625" style="522" customWidth="1"/>
    <col min="525" max="525" width="20.109375" style="522" customWidth="1"/>
    <col min="526" max="526" width="13.88671875" style="522" bestFit="1" customWidth="1"/>
    <col min="527" max="527" width="12.6640625" style="522" customWidth="1"/>
    <col min="528" max="528" width="12.6640625" style="522" bestFit="1" customWidth="1"/>
    <col min="529" max="529" width="14.109375" style="522" bestFit="1" customWidth="1"/>
    <col min="530" max="530" width="8.88671875" style="522"/>
    <col min="531" max="531" width="15.88671875" style="522" customWidth="1"/>
    <col min="532" max="771" width="8.88671875" style="522"/>
    <col min="772" max="772" width="8.6640625" style="522" customWidth="1"/>
    <col min="773" max="773" width="7.88671875" style="522" customWidth="1"/>
    <col min="774" max="774" width="19.109375" style="522" bestFit="1" customWidth="1"/>
    <col min="775" max="776" width="13.77734375" style="522" customWidth="1"/>
    <col min="777" max="777" width="0" style="522" hidden="1" customWidth="1"/>
    <col min="778" max="778" width="13.77734375" style="522" customWidth="1"/>
    <col min="779" max="779" width="62.44140625" style="522" bestFit="1" customWidth="1"/>
    <col min="780" max="780" width="10.6640625" style="522" customWidth="1"/>
    <col min="781" max="781" width="20.109375" style="522" customWidth="1"/>
    <col min="782" max="782" width="13.88671875" style="522" bestFit="1" customWidth="1"/>
    <col min="783" max="783" width="12.6640625" style="522" customWidth="1"/>
    <col min="784" max="784" width="12.6640625" style="522" bestFit="1" customWidth="1"/>
    <col min="785" max="785" width="14.109375" style="522" bestFit="1" customWidth="1"/>
    <col min="786" max="786" width="8.88671875" style="522"/>
    <col min="787" max="787" width="15.88671875" style="522" customWidth="1"/>
    <col min="788" max="1027" width="8.88671875" style="522"/>
    <col min="1028" max="1028" width="8.6640625" style="522" customWidth="1"/>
    <col min="1029" max="1029" width="7.88671875" style="522" customWidth="1"/>
    <col min="1030" max="1030" width="19.109375" style="522" bestFit="1" customWidth="1"/>
    <col min="1031" max="1032" width="13.77734375" style="522" customWidth="1"/>
    <col min="1033" max="1033" width="0" style="522" hidden="1" customWidth="1"/>
    <col min="1034" max="1034" width="13.77734375" style="522" customWidth="1"/>
    <col min="1035" max="1035" width="62.44140625" style="522" bestFit="1" customWidth="1"/>
    <col min="1036" max="1036" width="10.6640625" style="522" customWidth="1"/>
    <col min="1037" max="1037" width="20.109375" style="522" customWidth="1"/>
    <col min="1038" max="1038" width="13.88671875" style="522" bestFit="1" customWidth="1"/>
    <col min="1039" max="1039" width="12.6640625" style="522" customWidth="1"/>
    <col min="1040" max="1040" width="12.6640625" style="522" bestFit="1" customWidth="1"/>
    <col min="1041" max="1041" width="14.109375" style="522" bestFit="1" customWidth="1"/>
    <col min="1042" max="1042" width="8.88671875" style="522"/>
    <col min="1043" max="1043" width="15.88671875" style="522" customWidth="1"/>
    <col min="1044" max="1283" width="8.88671875" style="522"/>
    <col min="1284" max="1284" width="8.6640625" style="522" customWidth="1"/>
    <col min="1285" max="1285" width="7.88671875" style="522" customWidth="1"/>
    <col min="1286" max="1286" width="19.109375" style="522" bestFit="1" customWidth="1"/>
    <col min="1287" max="1288" width="13.77734375" style="522" customWidth="1"/>
    <col min="1289" max="1289" width="0" style="522" hidden="1" customWidth="1"/>
    <col min="1290" max="1290" width="13.77734375" style="522" customWidth="1"/>
    <col min="1291" max="1291" width="62.44140625" style="522" bestFit="1" customWidth="1"/>
    <col min="1292" max="1292" width="10.6640625" style="522" customWidth="1"/>
    <col min="1293" max="1293" width="20.109375" style="522" customWidth="1"/>
    <col min="1294" max="1294" width="13.88671875" style="522" bestFit="1" customWidth="1"/>
    <col min="1295" max="1295" width="12.6640625" style="522" customWidth="1"/>
    <col min="1296" max="1296" width="12.6640625" style="522" bestFit="1" customWidth="1"/>
    <col min="1297" max="1297" width="14.109375" style="522" bestFit="1" customWidth="1"/>
    <col min="1298" max="1298" width="8.88671875" style="522"/>
    <col min="1299" max="1299" width="15.88671875" style="522" customWidth="1"/>
    <col min="1300" max="1539" width="8.88671875" style="522"/>
    <col min="1540" max="1540" width="8.6640625" style="522" customWidth="1"/>
    <col min="1541" max="1541" width="7.88671875" style="522" customWidth="1"/>
    <col min="1542" max="1542" width="19.109375" style="522" bestFit="1" customWidth="1"/>
    <col min="1543" max="1544" width="13.77734375" style="522" customWidth="1"/>
    <col min="1545" max="1545" width="0" style="522" hidden="1" customWidth="1"/>
    <col min="1546" max="1546" width="13.77734375" style="522" customWidth="1"/>
    <col min="1547" max="1547" width="62.44140625" style="522" bestFit="1" customWidth="1"/>
    <col min="1548" max="1548" width="10.6640625" style="522" customWidth="1"/>
    <col min="1549" max="1549" width="20.109375" style="522" customWidth="1"/>
    <col min="1550" max="1550" width="13.88671875" style="522" bestFit="1" customWidth="1"/>
    <col min="1551" max="1551" width="12.6640625" style="522" customWidth="1"/>
    <col min="1552" max="1552" width="12.6640625" style="522" bestFit="1" customWidth="1"/>
    <col min="1553" max="1553" width="14.109375" style="522" bestFit="1" customWidth="1"/>
    <col min="1554" max="1554" width="8.88671875" style="522"/>
    <col min="1555" max="1555" width="15.88671875" style="522" customWidth="1"/>
    <col min="1556" max="1795" width="8.88671875" style="522"/>
    <col min="1796" max="1796" width="8.6640625" style="522" customWidth="1"/>
    <col min="1797" max="1797" width="7.88671875" style="522" customWidth="1"/>
    <col min="1798" max="1798" width="19.109375" style="522" bestFit="1" customWidth="1"/>
    <col min="1799" max="1800" width="13.77734375" style="522" customWidth="1"/>
    <col min="1801" max="1801" width="0" style="522" hidden="1" customWidth="1"/>
    <col min="1802" max="1802" width="13.77734375" style="522" customWidth="1"/>
    <col min="1803" max="1803" width="62.44140625" style="522" bestFit="1" customWidth="1"/>
    <col min="1804" max="1804" width="10.6640625" style="522" customWidth="1"/>
    <col min="1805" max="1805" width="20.109375" style="522" customWidth="1"/>
    <col min="1806" max="1806" width="13.88671875" style="522" bestFit="1" customWidth="1"/>
    <col min="1807" max="1807" width="12.6640625" style="522" customWidth="1"/>
    <col min="1808" max="1808" width="12.6640625" style="522" bestFit="1" customWidth="1"/>
    <col min="1809" max="1809" width="14.109375" style="522" bestFit="1" customWidth="1"/>
    <col min="1810" max="1810" width="8.88671875" style="522"/>
    <col min="1811" max="1811" width="15.88671875" style="522" customWidth="1"/>
    <col min="1812" max="2051" width="8.88671875" style="522"/>
    <col min="2052" max="2052" width="8.6640625" style="522" customWidth="1"/>
    <col min="2053" max="2053" width="7.88671875" style="522" customWidth="1"/>
    <col min="2054" max="2054" width="19.109375" style="522" bestFit="1" customWidth="1"/>
    <col min="2055" max="2056" width="13.77734375" style="522" customWidth="1"/>
    <col min="2057" max="2057" width="0" style="522" hidden="1" customWidth="1"/>
    <col min="2058" max="2058" width="13.77734375" style="522" customWidth="1"/>
    <col min="2059" max="2059" width="62.44140625" style="522" bestFit="1" customWidth="1"/>
    <col min="2060" max="2060" width="10.6640625" style="522" customWidth="1"/>
    <col min="2061" max="2061" width="20.109375" style="522" customWidth="1"/>
    <col min="2062" max="2062" width="13.88671875" style="522" bestFit="1" customWidth="1"/>
    <col min="2063" max="2063" width="12.6640625" style="522" customWidth="1"/>
    <col min="2064" max="2064" width="12.6640625" style="522" bestFit="1" customWidth="1"/>
    <col min="2065" max="2065" width="14.109375" style="522" bestFit="1" customWidth="1"/>
    <col min="2066" max="2066" width="8.88671875" style="522"/>
    <col min="2067" max="2067" width="15.88671875" style="522" customWidth="1"/>
    <col min="2068" max="2307" width="8.88671875" style="522"/>
    <col min="2308" max="2308" width="8.6640625" style="522" customWidth="1"/>
    <col min="2309" max="2309" width="7.88671875" style="522" customWidth="1"/>
    <col min="2310" max="2310" width="19.109375" style="522" bestFit="1" customWidth="1"/>
    <col min="2311" max="2312" width="13.77734375" style="522" customWidth="1"/>
    <col min="2313" max="2313" width="0" style="522" hidden="1" customWidth="1"/>
    <col min="2314" max="2314" width="13.77734375" style="522" customWidth="1"/>
    <col min="2315" max="2315" width="62.44140625" style="522" bestFit="1" customWidth="1"/>
    <col min="2316" max="2316" width="10.6640625" style="522" customWidth="1"/>
    <col min="2317" max="2317" width="20.109375" style="522" customWidth="1"/>
    <col min="2318" max="2318" width="13.88671875" style="522" bestFit="1" customWidth="1"/>
    <col min="2319" max="2319" width="12.6640625" style="522" customWidth="1"/>
    <col min="2320" max="2320" width="12.6640625" style="522" bestFit="1" customWidth="1"/>
    <col min="2321" max="2321" width="14.109375" style="522" bestFit="1" customWidth="1"/>
    <col min="2322" max="2322" width="8.88671875" style="522"/>
    <col min="2323" max="2323" width="15.88671875" style="522" customWidth="1"/>
    <col min="2324" max="2563" width="8.88671875" style="522"/>
    <col min="2564" max="2564" width="8.6640625" style="522" customWidth="1"/>
    <col min="2565" max="2565" width="7.88671875" style="522" customWidth="1"/>
    <col min="2566" max="2566" width="19.109375" style="522" bestFit="1" customWidth="1"/>
    <col min="2567" max="2568" width="13.77734375" style="522" customWidth="1"/>
    <col min="2569" max="2569" width="0" style="522" hidden="1" customWidth="1"/>
    <col min="2570" max="2570" width="13.77734375" style="522" customWidth="1"/>
    <col min="2571" max="2571" width="62.44140625" style="522" bestFit="1" customWidth="1"/>
    <col min="2572" max="2572" width="10.6640625" style="522" customWidth="1"/>
    <col min="2573" max="2573" width="20.109375" style="522" customWidth="1"/>
    <col min="2574" max="2574" width="13.88671875" style="522" bestFit="1" customWidth="1"/>
    <col min="2575" max="2575" width="12.6640625" style="522" customWidth="1"/>
    <col min="2576" max="2576" width="12.6640625" style="522" bestFit="1" customWidth="1"/>
    <col min="2577" max="2577" width="14.109375" style="522" bestFit="1" customWidth="1"/>
    <col min="2578" max="2578" width="8.88671875" style="522"/>
    <col min="2579" max="2579" width="15.88671875" style="522" customWidth="1"/>
    <col min="2580" max="2819" width="8.88671875" style="522"/>
    <col min="2820" max="2820" width="8.6640625" style="522" customWidth="1"/>
    <col min="2821" max="2821" width="7.88671875" style="522" customWidth="1"/>
    <col min="2822" max="2822" width="19.109375" style="522" bestFit="1" customWidth="1"/>
    <col min="2823" max="2824" width="13.77734375" style="522" customWidth="1"/>
    <col min="2825" max="2825" width="0" style="522" hidden="1" customWidth="1"/>
    <col min="2826" max="2826" width="13.77734375" style="522" customWidth="1"/>
    <col min="2827" max="2827" width="62.44140625" style="522" bestFit="1" customWidth="1"/>
    <col min="2828" max="2828" width="10.6640625" style="522" customWidth="1"/>
    <col min="2829" max="2829" width="20.109375" style="522" customWidth="1"/>
    <col min="2830" max="2830" width="13.88671875" style="522" bestFit="1" customWidth="1"/>
    <col min="2831" max="2831" width="12.6640625" style="522" customWidth="1"/>
    <col min="2832" max="2832" width="12.6640625" style="522" bestFit="1" customWidth="1"/>
    <col min="2833" max="2833" width="14.109375" style="522" bestFit="1" customWidth="1"/>
    <col min="2834" max="2834" width="8.88671875" style="522"/>
    <col min="2835" max="2835" width="15.88671875" style="522" customWidth="1"/>
    <col min="2836" max="3075" width="8.88671875" style="522"/>
    <col min="3076" max="3076" width="8.6640625" style="522" customWidth="1"/>
    <col min="3077" max="3077" width="7.88671875" style="522" customWidth="1"/>
    <col min="3078" max="3078" width="19.109375" style="522" bestFit="1" customWidth="1"/>
    <col min="3079" max="3080" width="13.77734375" style="522" customWidth="1"/>
    <col min="3081" max="3081" width="0" style="522" hidden="1" customWidth="1"/>
    <col min="3082" max="3082" width="13.77734375" style="522" customWidth="1"/>
    <col min="3083" max="3083" width="62.44140625" style="522" bestFit="1" customWidth="1"/>
    <col min="3084" max="3084" width="10.6640625" style="522" customWidth="1"/>
    <col min="3085" max="3085" width="20.109375" style="522" customWidth="1"/>
    <col min="3086" max="3086" width="13.88671875" style="522" bestFit="1" customWidth="1"/>
    <col min="3087" max="3087" width="12.6640625" style="522" customWidth="1"/>
    <col min="3088" max="3088" width="12.6640625" style="522" bestFit="1" customWidth="1"/>
    <col min="3089" max="3089" width="14.109375" style="522" bestFit="1" customWidth="1"/>
    <col min="3090" max="3090" width="8.88671875" style="522"/>
    <col min="3091" max="3091" width="15.88671875" style="522" customWidth="1"/>
    <col min="3092" max="3331" width="8.88671875" style="522"/>
    <col min="3332" max="3332" width="8.6640625" style="522" customWidth="1"/>
    <col min="3333" max="3333" width="7.88671875" style="522" customWidth="1"/>
    <col min="3334" max="3334" width="19.109375" style="522" bestFit="1" customWidth="1"/>
    <col min="3335" max="3336" width="13.77734375" style="522" customWidth="1"/>
    <col min="3337" max="3337" width="0" style="522" hidden="1" customWidth="1"/>
    <col min="3338" max="3338" width="13.77734375" style="522" customWidth="1"/>
    <col min="3339" max="3339" width="62.44140625" style="522" bestFit="1" customWidth="1"/>
    <col min="3340" max="3340" width="10.6640625" style="522" customWidth="1"/>
    <col min="3341" max="3341" width="20.109375" style="522" customWidth="1"/>
    <col min="3342" max="3342" width="13.88671875" style="522" bestFit="1" customWidth="1"/>
    <col min="3343" max="3343" width="12.6640625" style="522" customWidth="1"/>
    <col min="3344" max="3344" width="12.6640625" style="522" bestFit="1" customWidth="1"/>
    <col min="3345" max="3345" width="14.109375" style="522" bestFit="1" customWidth="1"/>
    <col min="3346" max="3346" width="8.88671875" style="522"/>
    <col min="3347" max="3347" width="15.88671875" style="522" customWidth="1"/>
    <col min="3348" max="3587" width="8.88671875" style="522"/>
    <col min="3588" max="3588" width="8.6640625" style="522" customWidth="1"/>
    <col min="3589" max="3589" width="7.88671875" style="522" customWidth="1"/>
    <col min="3590" max="3590" width="19.109375" style="522" bestFit="1" customWidth="1"/>
    <col min="3591" max="3592" width="13.77734375" style="522" customWidth="1"/>
    <col min="3593" max="3593" width="0" style="522" hidden="1" customWidth="1"/>
    <col min="3594" max="3594" width="13.77734375" style="522" customWidth="1"/>
    <col min="3595" max="3595" width="62.44140625" style="522" bestFit="1" customWidth="1"/>
    <col min="3596" max="3596" width="10.6640625" style="522" customWidth="1"/>
    <col min="3597" max="3597" width="20.109375" style="522" customWidth="1"/>
    <col min="3598" max="3598" width="13.88671875" style="522" bestFit="1" customWidth="1"/>
    <col min="3599" max="3599" width="12.6640625" style="522" customWidth="1"/>
    <col min="3600" max="3600" width="12.6640625" style="522" bestFit="1" customWidth="1"/>
    <col min="3601" max="3601" width="14.109375" style="522" bestFit="1" customWidth="1"/>
    <col min="3602" max="3602" width="8.88671875" style="522"/>
    <col min="3603" max="3603" width="15.88671875" style="522" customWidth="1"/>
    <col min="3604" max="3843" width="8.88671875" style="522"/>
    <col min="3844" max="3844" width="8.6640625" style="522" customWidth="1"/>
    <col min="3845" max="3845" width="7.88671875" style="522" customWidth="1"/>
    <col min="3846" max="3846" width="19.109375" style="522" bestFit="1" customWidth="1"/>
    <col min="3847" max="3848" width="13.77734375" style="522" customWidth="1"/>
    <col min="3849" max="3849" width="0" style="522" hidden="1" customWidth="1"/>
    <col min="3850" max="3850" width="13.77734375" style="522" customWidth="1"/>
    <col min="3851" max="3851" width="62.44140625" style="522" bestFit="1" customWidth="1"/>
    <col min="3852" max="3852" width="10.6640625" style="522" customWidth="1"/>
    <col min="3853" max="3853" width="20.109375" style="522" customWidth="1"/>
    <col min="3854" max="3854" width="13.88671875" style="522" bestFit="1" customWidth="1"/>
    <col min="3855" max="3855" width="12.6640625" style="522" customWidth="1"/>
    <col min="3856" max="3856" width="12.6640625" style="522" bestFit="1" customWidth="1"/>
    <col min="3857" max="3857" width="14.109375" style="522" bestFit="1" customWidth="1"/>
    <col min="3858" max="3858" width="8.88671875" style="522"/>
    <col min="3859" max="3859" width="15.88671875" style="522" customWidth="1"/>
    <col min="3860" max="4099" width="8.88671875" style="522"/>
    <col min="4100" max="4100" width="8.6640625" style="522" customWidth="1"/>
    <col min="4101" max="4101" width="7.88671875" style="522" customWidth="1"/>
    <col min="4102" max="4102" width="19.109375" style="522" bestFit="1" customWidth="1"/>
    <col min="4103" max="4104" width="13.77734375" style="522" customWidth="1"/>
    <col min="4105" max="4105" width="0" style="522" hidden="1" customWidth="1"/>
    <col min="4106" max="4106" width="13.77734375" style="522" customWidth="1"/>
    <col min="4107" max="4107" width="62.44140625" style="522" bestFit="1" customWidth="1"/>
    <col min="4108" max="4108" width="10.6640625" style="522" customWidth="1"/>
    <col min="4109" max="4109" width="20.109375" style="522" customWidth="1"/>
    <col min="4110" max="4110" width="13.88671875" style="522" bestFit="1" customWidth="1"/>
    <col min="4111" max="4111" width="12.6640625" style="522" customWidth="1"/>
    <col min="4112" max="4112" width="12.6640625" style="522" bestFit="1" customWidth="1"/>
    <col min="4113" max="4113" width="14.109375" style="522" bestFit="1" customWidth="1"/>
    <col min="4114" max="4114" width="8.88671875" style="522"/>
    <col min="4115" max="4115" width="15.88671875" style="522" customWidth="1"/>
    <col min="4116" max="4355" width="8.88671875" style="522"/>
    <col min="4356" max="4356" width="8.6640625" style="522" customWidth="1"/>
    <col min="4357" max="4357" width="7.88671875" style="522" customWidth="1"/>
    <col min="4358" max="4358" width="19.109375" style="522" bestFit="1" customWidth="1"/>
    <col min="4359" max="4360" width="13.77734375" style="522" customWidth="1"/>
    <col min="4361" max="4361" width="0" style="522" hidden="1" customWidth="1"/>
    <col min="4362" max="4362" width="13.77734375" style="522" customWidth="1"/>
    <col min="4363" max="4363" width="62.44140625" style="522" bestFit="1" customWidth="1"/>
    <col min="4364" max="4364" width="10.6640625" style="522" customWidth="1"/>
    <col min="4365" max="4365" width="20.109375" style="522" customWidth="1"/>
    <col min="4366" max="4366" width="13.88671875" style="522" bestFit="1" customWidth="1"/>
    <col min="4367" max="4367" width="12.6640625" style="522" customWidth="1"/>
    <col min="4368" max="4368" width="12.6640625" style="522" bestFit="1" customWidth="1"/>
    <col min="4369" max="4369" width="14.109375" style="522" bestFit="1" customWidth="1"/>
    <col min="4370" max="4370" width="8.88671875" style="522"/>
    <col min="4371" max="4371" width="15.88671875" style="522" customWidth="1"/>
    <col min="4372" max="4611" width="8.88671875" style="522"/>
    <col min="4612" max="4612" width="8.6640625" style="522" customWidth="1"/>
    <col min="4613" max="4613" width="7.88671875" style="522" customWidth="1"/>
    <col min="4614" max="4614" width="19.109375" style="522" bestFit="1" customWidth="1"/>
    <col min="4615" max="4616" width="13.77734375" style="522" customWidth="1"/>
    <col min="4617" max="4617" width="0" style="522" hidden="1" customWidth="1"/>
    <col min="4618" max="4618" width="13.77734375" style="522" customWidth="1"/>
    <col min="4619" max="4619" width="62.44140625" style="522" bestFit="1" customWidth="1"/>
    <col min="4620" max="4620" width="10.6640625" style="522" customWidth="1"/>
    <col min="4621" max="4621" width="20.109375" style="522" customWidth="1"/>
    <col min="4622" max="4622" width="13.88671875" style="522" bestFit="1" customWidth="1"/>
    <col min="4623" max="4623" width="12.6640625" style="522" customWidth="1"/>
    <col min="4624" max="4624" width="12.6640625" style="522" bestFit="1" customWidth="1"/>
    <col min="4625" max="4625" width="14.109375" style="522" bestFit="1" customWidth="1"/>
    <col min="4626" max="4626" width="8.88671875" style="522"/>
    <col min="4627" max="4627" width="15.88671875" style="522" customWidth="1"/>
    <col min="4628" max="4867" width="8.88671875" style="522"/>
    <col min="4868" max="4868" width="8.6640625" style="522" customWidth="1"/>
    <col min="4869" max="4869" width="7.88671875" style="522" customWidth="1"/>
    <col min="4870" max="4870" width="19.109375" style="522" bestFit="1" customWidth="1"/>
    <col min="4871" max="4872" width="13.77734375" style="522" customWidth="1"/>
    <col min="4873" max="4873" width="0" style="522" hidden="1" customWidth="1"/>
    <col min="4874" max="4874" width="13.77734375" style="522" customWidth="1"/>
    <col min="4875" max="4875" width="62.44140625" style="522" bestFit="1" customWidth="1"/>
    <col min="4876" max="4876" width="10.6640625" style="522" customWidth="1"/>
    <col min="4877" max="4877" width="20.109375" style="522" customWidth="1"/>
    <col min="4878" max="4878" width="13.88671875" style="522" bestFit="1" customWidth="1"/>
    <col min="4879" max="4879" width="12.6640625" style="522" customWidth="1"/>
    <col min="4880" max="4880" width="12.6640625" style="522" bestFit="1" customWidth="1"/>
    <col min="4881" max="4881" width="14.109375" style="522" bestFit="1" customWidth="1"/>
    <col min="4882" max="4882" width="8.88671875" style="522"/>
    <col min="4883" max="4883" width="15.88671875" style="522" customWidth="1"/>
    <col min="4884" max="5123" width="8.88671875" style="522"/>
    <col min="5124" max="5124" width="8.6640625" style="522" customWidth="1"/>
    <col min="5125" max="5125" width="7.88671875" style="522" customWidth="1"/>
    <col min="5126" max="5126" width="19.109375" style="522" bestFit="1" customWidth="1"/>
    <col min="5127" max="5128" width="13.77734375" style="522" customWidth="1"/>
    <col min="5129" max="5129" width="0" style="522" hidden="1" customWidth="1"/>
    <col min="5130" max="5130" width="13.77734375" style="522" customWidth="1"/>
    <col min="5131" max="5131" width="62.44140625" style="522" bestFit="1" customWidth="1"/>
    <col min="5132" max="5132" width="10.6640625" style="522" customWidth="1"/>
    <col min="5133" max="5133" width="20.109375" style="522" customWidth="1"/>
    <col min="5134" max="5134" width="13.88671875" style="522" bestFit="1" customWidth="1"/>
    <col min="5135" max="5135" width="12.6640625" style="522" customWidth="1"/>
    <col min="5136" max="5136" width="12.6640625" style="522" bestFit="1" customWidth="1"/>
    <col min="5137" max="5137" width="14.109375" style="522" bestFit="1" customWidth="1"/>
    <col min="5138" max="5138" width="8.88671875" style="522"/>
    <col min="5139" max="5139" width="15.88671875" style="522" customWidth="1"/>
    <col min="5140" max="5379" width="8.88671875" style="522"/>
    <col min="5380" max="5380" width="8.6640625" style="522" customWidth="1"/>
    <col min="5381" max="5381" width="7.88671875" style="522" customWidth="1"/>
    <col min="5382" max="5382" width="19.109375" style="522" bestFit="1" customWidth="1"/>
    <col min="5383" max="5384" width="13.77734375" style="522" customWidth="1"/>
    <col min="5385" max="5385" width="0" style="522" hidden="1" customWidth="1"/>
    <col min="5386" max="5386" width="13.77734375" style="522" customWidth="1"/>
    <col min="5387" max="5387" width="62.44140625" style="522" bestFit="1" customWidth="1"/>
    <col min="5388" max="5388" width="10.6640625" style="522" customWidth="1"/>
    <col min="5389" max="5389" width="20.109375" style="522" customWidth="1"/>
    <col min="5390" max="5390" width="13.88671875" style="522" bestFit="1" customWidth="1"/>
    <col min="5391" max="5391" width="12.6640625" style="522" customWidth="1"/>
    <col min="5392" max="5392" width="12.6640625" style="522" bestFit="1" customWidth="1"/>
    <col min="5393" max="5393" width="14.109375" style="522" bestFit="1" customWidth="1"/>
    <col min="5394" max="5394" width="8.88671875" style="522"/>
    <col min="5395" max="5395" width="15.88671875" style="522" customWidth="1"/>
    <col min="5396" max="5635" width="8.88671875" style="522"/>
    <col min="5636" max="5636" width="8.6640625" style="522" customWidth="1"/>
    <col min="5637" max="5637" width="7.88671875" style="522" customWidth="1"/>
    <col min="5638" max="5638" width="19.109375" style="522" bestFit="1" customWidth="1"/>
    <col min="5639" max="5640" width="13.77734375" style="522" customWidth="1"/>
    <col min="5641" max="5641" width="0" style="522" hidden="1" customWidth="1"/>
    <col min="5642" max="5642" width="13.77734375" style="522" customWidth="1"/>
    <col min="5643" max="5643" width="62.44140625" style="522" bestFit="1" customWidth="1"/>
    <col min="5644" max="5644" width="10.6640625" style="522" customWidth="1"/>
    <col min="5645" max="5645" width="20.109375" style="522" customWidth="1"/>
    <col min="5646" max="5646" width="13.88671875" style="522" bestFit="1" customWidth="1"/>
    <col min="5647" max="5647" width="12.6640625" style="522" customWidth="1"/>
    <col min="5648" max="5648" width="12.6640625" style="522" bestFit="1" customWidth="1"/>
    <col min="5649" max="5649" width="14.109375" style="522" bestFit="1" customWidth="1"/>
    <col min="5650" max="5650" width="8.88671875" style="522"/>
    <col min="5651" max="5651" width="15.88671875" style="522" customWidth="1"/>
    <col min="5652" max="5891" width="8.88671875" style="522"/>
    <col min="5892" max="5892" width="8.6640625" style="522" customWidth="1"/>
    <col min="5893" max="5893" width="7.88671875" style="522" customWidth="1"/>
    <col min="5894" max="5894" width="19.109375" style="522" bestFit="1" customWidth="1"/>
    <col min="5895" max="5896" width="13.77734375" style="522" customWidth="1"/>
    <col min="5897" max="5897" width="0" style="522" hidden="1" customWidth="1"/>
    <col min="5898" max="5898" width="13.77734375" style="522" customWidth="1"/>
    <col min="5899" max="5899" width="62.44140625" style="522" bestFit="1" customWidth="1"/>
    <col min="5900" max="5900" width="10.6640625" style="522" customWidth="1"/>
    <col min="5901" max="5901" width="20.109375" style="522" customWidth="1"/>
    <col min="5902" max="5902" width="13.88671875" style="522" bestFit="1" customWidth="1"/>
    <col min="5903" max="5903" width="12.6640625" style="522" customWidth="1"/>
    <col min="5904" max="5904" width="12.6640625" style="522" bestFit="1" customWidth="1"/>
    <col min="5905" max="5905" width="14.109375" style="522" bestFit="1" customWidth="1"/>
    <col min="5906" max="5906" width="8.88671875" style="522"/>
    <col min="5907" max="5907" width="15.88671875" style="522" customWidth="1"/>
    <col min="5908" max="6147" width="8.88671875" style="522"/>
    <col min="6148" max="6148" width="8.6640625" style="522" customWidth="1"/>
    <col min="6149" max="6149" width="7.88671875" style="522" customWidth="1"/>
    <col min="6150" max="6150" width="19.109375" style="522" bestFit="1" customWidth="1"/>
    <col min="6151" max="6152" width="13.77734375" style="522" customWidth="1"/>
    <col min="6153" max="6153" width="0" style="522" hidden="1" customWidth="1"/>
    <col min="6154" max="6154" width="13.77734375" style="522" customWidth="1"/>
    <col min="6155" max="6155" width="62.44140625" style="522" bestFit="1" customWidth="1"/>
    <col min="6156" max="6156" width="10.6640625" style="522" customWidth="1"/>
    <col min="6157" max="6157" width="20.109375" style="522" customWidth="1"/>
    <col min="6158" max="6158" width="13.88671875" style="522" bestFit="1" customWidth="1"/>
    <col min="6159" max="6159" width="12.6640625" style="522" customWidth="1"/>
    <col min="6160" max="6160" width="12.6640625" style="522" bestFit="1" customWidth="1"/>
    <col min="6161" max="6161" width="14.109375" style="522" bestFit="1" customWidth="1"/>
    <col min="6162" max="6162" width="8.88671875" style="522"/>
    <col min="6163" max="6163" width="15.88671875" style="522" customWidth="1"/>
    <col min="6164" max="6403" width="8.88671875" style="522"/>
    <col min="6404" max="6404" width="8.6640625" style="522" customWidth="1"/>
    <col min="6405" max="6405" width="7.88671875" style="522" customWidth="1"/>
    <col min="6406" max="6406" width="19.109375" style="522" bestFit="1" customWidth="1"/>
    <col min="6407" max="6408" width="13.77734375" style="522" customWidth="1"/>
    <col min="6409" max="6409" width="0" style="522" hidden="1" customWidth="1"/>
    <col min="6410" max="6410" width="13.77734375" style="522" customWidth="1"/>
    <col min="6411" max="6411" width="62.44140625" style="522" bestFit="1" customWidth="1"/>
    <col min="6412" max="6412" width="10.6640625" style="522" customWidth="1"/>
    <col min="6413" max="6413" width="20.109375" style="522" customWidth="1"/>
    <col min="6414" max="6414" width="13.88671875" style="522" bestFit="1" customWidth="1"/>
    <col min="6415" max="6415" width="12.6640625" style="522" customWidth="1"/>
    <col min="6416" max="6416" width="12.6640625" style="522" bestFit="1" customWidth="1"/>
    <col min="6417" max="6417" width="14.109375" style="522" bestFit="1" customWidth="1"/>
    <col min="6418" max="6418" width="8.88671875" style="522"/>
    <col min="6419" max="6419" width="15.88671875" style="522" customWidth="1"/>
    <col min="6420" max="6659" width="8.88671875" style="522"/>
    <col min="6660" max="6660" width="8.6640625" style="522" customWidth="1"/>
    <col min="6661" max="6661" width="7.88671875" style="522" customWidth="1"/>
    <col min="6662" max="6662" width="19.109375" style="522" bestFit="1" customWidth="1"/>
    <col min="6663" max="6664" width="13.77734375" style="522" customWidth="1"/>
    <col min="6665" max="6665" width="0" style="522" hidden="1" customWidth="1"/>
    <col min="6666" max="6666" width="13.77734375" style="522" customWidth="1"/>
    <col min="6667" max="6667" width="62.44140625" style="522" bestFit="1" customWidth="1"/>
    <col min="6668" max="6668" width="10.6640625" style="522" customWidth="1"/>
    <col min="6669" max="6669" width="20.109375" style="522" customWidth="1"/>
    <col min="6670" max="6670" width="13.88671875" style="522" bestFit="1" customWidth="1"/>
    <col min="6671" max="6671" width="12.6640625" style="522" customWidth="1"/>
    <col min="6672" max="6672" width="12.6640625" style="522" bestFit="1" customWidth="1"/>
    <col min="6673" max="6673" width="14.109375" style="522" bestFit="1" customWidth="1"/>
    <col min="6674" max="6674" width="8.88671875" style="522"/>
    <col min="6675" max="6675" width="15.88671875" style="522" customWidth="1"/>
    <col min="6676" max="6915" width="8.88671875" style="522"/>
    <col min="6916" max="6916" width="8.6640625" style="522" customWidth="1"/>
    <col min="6917" max="6917" width="7.88671875" style="522" customWidth="1"/>
    <col min="6918" max="6918" width="19.109375" style="522" bestFit="1" customWidth="1"/>
    <col min="6919" max="6920" width="13.77734375" style="522" customWidth="1"/>
    <col min="6921" max="6921" width="0" style="522" hidden="1" customWidth="1"/>
    <col min="6922" max="6922" width="13.77734375" style="522" customWidth="1"/>
    <col min="6923" max="6923" width="62.44140625" style="522" bestFit="1" customWidth="1"/>
    <col min="6924" max="6924" width="10.6640625" style="522" customWidth="1"/>
    <col min="6925" max="6925" width="20.109375" style="522" customWidth="1"/>
    <col min="6926" max="6926" width="13.88671875" style="522" bestFit="1" customWidth="1"/>
    <col min="6927" max="6927" width="12.6640625" style="522" customWidth="1"/>
    <col min="6928" max="6928" width="12.6640625" style="522" bestFit="1" customWidth="1"/>
    <col min="6929" max="6929" width="14.109375" style="522" bestFit="1" customWidth="1"/>
    <col min="6930" max="6930" width="8.88671875" style="522"/>
    <col min="6931" max="6931" width="15.88671875" style="522" customWidth="1"/>
    <col min="6932" max="7171" width="8.88671875" style="522"/>
    <col min="7172" max="7172" width="8.6640625" style="522" customWidth="1"/>
    <col min="7173" max="7173" width="7.88671875" style="522" customWidth="1"/>
    <col min="7174" max="7174" width="19.109375" style="522" bestFit="1" customWidth="1"/>
    <col min="7175" max="7176" width="13.77734375" style="522" customWidth="1"/>
    <col min="7177" max="7177" width="0" style="522" hidden="1" customWidth="1"/>
    <col min="7178" max="7178" width="13.77734375" style="522" customWidth="1"/>
    <col min="7179" max="7179" width="62.44140625" style="522" bestFit="1" customWidth="1"/>
    <col min="7180" max="7180" width="10.6640625" style="522" customWidth="1"/>
    <col min="7181" max="7181" width="20.109375" style="522" customWidth="1"/>
    <col min="7182" max="7182" width="13.88671875" style="522" bestFit="1" customWidth="1"/>
    <col min="7183" max="7183" width="12.6640625" style="522" customWidth="1"/>
    <col min="7184" max="7184" width="12.6640625" style="522" bestFit="1" customWidth="1"/>
    <col min="7185" max="7185" width="14.109375" style="522" bestFit="1" customWidth="1"/>
    <col min="7186" max="7186" width="8.88671875" style="522"/>
    <col min="7187" max="7187" width="15.88671875" style="522" customWidth="1"/>
    <col min="7188" max="7427" width="8.88671875" style="522"/>
    <col min="7428" max="7428" width="8.6640625" style="522" customWidth="1"/>
    <col min="7429" max="7429" width="7.88671875" style="522" customWidth="1"/>
    <col min="7430" max="7430" width="19.109375" style="522" bestFit="1" customWidth="1"/>
    <col min="7431" max="7432" width="13.77734375" style="522" customWidth="1"/>
    <col min="7433" max="7433" width="0" style="522" hidden="1" customWidth="1"/>
    <col min="7434" max="7434" width="13.77734375" style="522" customWidth="1"/>
    <col min="7435" max="7435" width="62.44140625" style="522" bestFit="1" customWidth="1"/>
    <col min="7436" max="7436" width="10.6640625" style="522" customWidth="1"/>
    <col min="7437" max="7437" width="20.109375" style="522" customWidth="1"/>
    <col min="7438" max="7438" width="13.88671875" style="522" bestFit="1" customWidth="1"/>
    <col min="7439" max="7439" width="12.6640625" style="522" customWidth="1"/>
    <col min="7440" max="7440" width="12.6640625" style="522" bestFit="1" customWidth="1"/>
    <col min="7441" max="7441" width="14.109375" style="522" bestFit="1" customWidth="1"/>
    <col min="7442" max="7442" width="8.88671875" style="522"/>
    <col min="7443" max="7443" width="15.88671875" style="522" customWidth="1"/>
    <col min="7444" max="7683" width="8.88671875" style="522"/>
    <col min="7684" max="7684" width="8.6640625" style="522" customWidth="1"/>
    <col min="7685" max="7685" width="7.88671875" style="522" customWidth="1"/>
    <col min="7686" max="7686" width="19.109375" style="522" bestFit="1" customWidth="1"/>
    <col min="7687" max="7688" width="13.77734375" style="522" customWidth="1"/>
    <col min="7689" max="7689" width="0" style="522" hidden="1" customWidth="1"/>
    <col min="7690" max="7690" width="13.77734375" style="522" customWidth="1"/>
    <col min="7691" max="7691" width="62.44140625" style="522" bestFit="1" customWidth="1"/>
    <col min="7692" max="7692" width="10.6640625" style="522" customWidth="1"/>
    <col min="7693" max="7693" width="20.109375" style="522" customWidth="1"/>
    <col min="7694" max="7694" width="13.88671875" style="522" bestFit="1" customWidth="1"/>
    <col min="7695" max="7695" width="12.6640625" style="522" customWidth="1"/>
    <col min="7696" max="7696" width="12.6640625" style="522" bestFit="1" customWidth="1"/>
    <col min="7697" max="7697" width="14.109375" style="522" bestFit="1" customWidth="1"/>
    <col min="7698" max="7698" width="8.88671875" style="522"/>
    <col min="7699" max="7699" width="15.88671875" style="522" customWidth="1"/>
    <col min="7700" max="7939" width="8.88671875" style="522"/>
    <col min="7940" max="7940" width="8.6640625" style="522" customWidth="1"/>
    <col min="7941" max="7941" width="7.88671875" style="522" customWidth="1"/>
    <col min="7942" max="7942" width="19.109375" style="522" bestFit="1" customWidth="1"/>
    <col min="7943" max="7944" width="13.77734375" style="522" customWidth="1"/>
    <col min="7945" max="7945" width="0" style="522" hidden="1" customWidth="1"/>
    <col min="7946" max="7946" width="13.77734375" style="522" customWidth="1"/>
    <col min="7947" max="7947" width="62.44140625" style="522" bestFit="1" customWidth="1"/>
    <col min="7948" max="7948" width="10.6640625" style="522" customWidth="1"/>
    <col min="7949" max="7949" width="20.109375" style="522" customWidth="1"/>
    <col min="7950" max="7950" width="13.88671875" style="522" bestFit="1" customWidth="1"/>
    <col min="7951" max="7951" width="12.6640625" style="522" customWidth="1"/>
    <col min="7952" max="7952" width="12.6640625" style="522" bestFit="1" customWidth="1"/>
    <col min="7953" max="7953" width="14.109375" style="522" bestFit="1" customWidth="1"/>
    <col min="7954" max="7954" width="8.88671875" style="522"/>
    <col min="7955" max="7955" width="15.88671875" style="522" customWidth="1"/>
    <col min="7956" max="8195" width="8.88671875" style="522"/>
    <col min="8196" max="8196" width="8.6640625" style="522" customWidth="1"/>
    <col min="8197" max="8197" width="7.88671875" style="522" customWidth="1"/>
    <col min="8198" max="8198" width="19.109375" style="522" bestFit="1" customWidth="1"/>
    <col min="8199" max="8200" width="13.77734375" style="522" customWidth="1"/>
    <col min="8201" max="8201" width="0" style="522" hidden="1" customWidth="1"/>
    <col min="8202" max="8202" width="13.77734375" style="522" customWidth="1"/>
    <col min="8203" max="8203" width="62.44140625" style="522" bestFit="1" customWidth="1"/>
    <col min="8204" max="8204" width="10.6640625" style="522" customWidth="1"/>
    <col min="8205" max="8205" width="20.109375" style="522" customWidth="1"/>
    <col min="8206" max="8206" width="13.88671875" style="522" bestFit="1" customWidth="1"/>
    <col min="8207" max="8207" width="12.6640625" style="522" customWidth="1"/>
    <col min="8208" max="8208" width="12.6640625" style="522" bestFit="1" customWidth="1"/>
    <col min="8209" max="8209" width="14.109375" style="522" bestFit="1" customWidth="1"/>
    <col min="8210" max="8210" width="8.88671875" style="522"/>
    <col min="8211" max="8211" width="15.88671875" style="522" customWidth="1"/>
    <col min="8212" max="8451" width="8.88671875" style="522"/>
    <col min="8452" max="8452" width="8.6640625" style="522" customWidth="1"/>
    <col min="8453" max="8453" width="7.88671875" style="522" customWidth="1"/>
    <col min="8454" max="8454" width="19.109375" style="522" bestFit="1" customWidth="1"/>
    <col min="8455" max="8456" width="13.77734375" style="522" customWidth="1"/>
    <col min="8457" max="8457" width="0" style="522" hidden="1" customWidth="1"/>
    <col min="8458" max="8458" width="13.77734375" style="522" customWidth="1"/>
    <col min="8459" max="8459" width="62.44140625" style="522" bestFit="1" customWidth="1"/>
    <col min="8460" max="8460" width="10.6640625" style="522" customWidth="1"/>
    <col min="8461" max="8461" width="20.109375" style="522" customWidth="1"/>
    <col min="8462" max="8462" width="13.88671875" style="522" bestFit="1" customWidth="1"/>
    <col min="8463" max="8463" width="12.6640625" style="522" customWidth="1"/>
    <col min="8464" max="8464" width="12.6640625" style="522" bestFit="1" customWidth="1"/>
    <col min="8465" max="8465" width="14.109375" style="522" bestFit="1" customWidth="1"/>
    <col min="8466" max="8466" width="8.88671875" style="522"/>
    <col min="8467" max="8467" width="15.88671875" style="522" customWidth="1"/>
    <col min="8468" max="8707" width="8.88671875" style="522"/>
    <col min="8708" max="8708" width="8.6640625" style="522" customWidth="1"/>
    <col min="8709" max="8709" width="7.88671875" style="522" customWidth="1"/>
    <col min="8710" max="8710" width="19.109375" style="522" bestFit="1" customWidth="1"/>
    <col min="8711" max="8712" width="13.77734375" style="522" customWidth="1"/>
    <col min="8713" max="8713" width="0" style="522" hidden="1" customWidth="1"/>
    <col min="8714" max="8714" width="13.77734375" style="522" customWidth="1"/>
    <col min="8715" max="8715" width="62.44140625" style="522" bestFit="1" customWidth="1"/>
    <col min="8716" max="8716" width="10.6640625" style="522" customWidth="1"/>
    <col min="8717" max="8717" width="20.109375" style="522" customWidth="1"/>
    <col min="8718" max="8718" width="13.88671875" style="522" bestFit="1" customWidth="1"/>
    <col min="8719" max="8719" width="12.6640625" style="522" customWidth="1"/>
    <col min="8720" max="8720" width="12.6640625" style="522" bestFit="1" customWidth="1"/>
    <col min="8721" max="8721" width="14.109375" style="522" bestFit="1" customWidth="1"/>
    <col min="8722" max="8722" width="8.88671875" style="522"/>
    <col min="8723" max="8723" width="15.88671875" style="522" customWidth="1"/>
    <col min="8724" max="8963" width="8.88671875" style="522"/>
    <col min="8964" max="8964" width="8.6640625" style="522" customWidth="1"/>
    <col min="8965" max="8965" width="7.88671875" style="522" customWidth="1"/>
    <col min="8966" max="8966" width="19.109375" style="522" bestFit="1" customWidth="1"/>
    <col min="8967" max="8968" width="13.77734375" style="522" customWidth="1"/>
    <col min="8969" max="8969" width="0" style="522" hidden="1" customWidth="1"/>
    <col min="8970" max="8970" width="13.77734375" style="522" customWidth="1"/>
    <col min="8971" max="8971" width="62.44140625" style="522" bestFit="1" customWidth="1"/>
    <col min="8972" max="8972" width="10.6640625" style="522" customWidth="1"/>
    <col min="8973" max="8973" width="20.109375" style="522" customWidth="1"/>
    <col min="8974" max="8974" width="13.88671875" style="522" bestFit="1" customWidth="1"/>
    <col min="8975" max="8975" width="12.6640625" style="522" customWidth="1"/>
    <col min="8976" max="8976" width="12.6640625" style="522" bestFit="1" customWidth="1"/>
    <col min="8977" max="8977" width="14.109375" style="522" bestFit="1" customWidth="1"/>
    <col min="8978" max="8978" width="8.88671875" style="522"/>
    <col min="8979" max="8979" width="15.88671875" style="522" customWidth="1"/>
    <col min="8980" max="9219" width="8.88671875" style="522"/>
    <col min="9220" max="9220" width="8.6640625" style="522" customWidth="1"/>
    <col min="9221" max="9221" width="7.88671875" style="522" customWidth="1"/>
    <col min="9222" max="9222" width="19.109375" style="522" bestFit="1" customWidth="1"/>
    <col min="9223" max="9224" width="13.77734375" style="522" customWidth="1"/>
    <col min="9225" max="9225" width="0" style="522" hidden="1" customWidth="1"/>
    <col min="9226" max="9226" width="13.77734375" style="522" customWidth="1"/>
    <col min="9227" max="9227" width="62.44140625" style="522" bestFit="1" customWidth="1"/>
    <col min="9228" max="9228" width="10.6640625" style="522" customWidth="1"/>
    <col min="9229" max="9229" width="20.109375" style="522" customWidth="1"/>
    <col min="9230" max="9230" width="13.88671875" style="522" bestFit="1" customWidth="1"/>
    <col min="9231" max="9231" width="12.6640625" style="522" customWidth="1"/>
    <col min="9232" max="9232" width="12.6640625" style="522" bestFit="1" customWidth="1"/>
    <col min="9233" max="9233" width="14.109375" style="522" bestFit="1" customWidth="1"/>
    <col min="9234" max="9234" width="8.88671875" style="522"/>
    <col min="9235" max="9235" width="15.88671875" style="522" customWidth="1"/>
    <col min="9236" max="9475" width="8.88671875" style="522"/>
    <col min="9476" max="9476" width="8.6640625" style="522" customWidth="1"/>
    <col min="9477" max="9477" width="7.88671875" style="522" customWidth="1"/>
    <col min="9478" max="9478" width="19.109375" style="522" bestFit="1" customWidth="1"/>
    <col min="9479" max="9480" width="13.77734375" style="522" customWidth="1"/>
    <col min="9481" max="9481" width="0" style="522" hidden="1" customWidth="1"/>
    <col min="9482" max="9482" width="13.77734375" style="522" customWidth="1"/>
    <col min="9483" max="9483" width="62.44140625" style="522" bestFit="1" customWidth="1"/>
    <col min="9484" max="9484" width="10.6640625" style="522" customWidth="1"/>
    <col min="9485" max="9485" width="20.109375" style="522" customWidth="1"/>
    <col min="9486" max="9486" width="13.88671875" style="522" bestFit="1" customWidth="1"/>
    <col min="9487" max="9487" width="12.6640625" style="522" customWidth="1"/>
    <col min="9488" max="9488" width="12.6640625" style="522" bestFit="1" customWidth="1"/>
    <col min="9489" max="9489" width="14.109375" style="522" bestFit="1" customWidth="1"/>
    <col min="9490" max="9490" width="8.88671875" style="522"/>
    <col min="9491" max="9491" width="15.88671875" style="522" customWidth="1"/>
    <col min="9492" max="9731" width="8.88671875" style="522"/>
    <col min="9732" max="9732" width="8.6640625" style="522" customWidth="1"/>
    <col min="9733" max="9733" width="7.88671875" style="522" customWidth="1"/>
    <col min="9734" max="9734" width="19.109375" style="522" bestFit="1" customWidth="1"/>
    <col min="9735" max="9736" width="13.77734375" style="522" customWidth="1"/>
    <col min="9737" max="9737" width="0" style="522" hidden="1" customWidth="1"/>
    <col min="9738" max="9738" width="13.77734375" style="522" customWidth="1"/>
    <col min="9739" max="9739" width="62.44140625" style="522" bestFit="1" customWidth="1"/>
    <col min="9740" max="9740" width="10.6640625" style="522" customWidth="1"/>
    <col min="9741" max="9741" width="20.109375" style="522" customWidth="1"/>
    <col min="9742" max="9742" width="13.88671875" style="522" bestFit="1" customWidth="1"/>
    <col min="9743" max="9743" width="12.6640625" style="522" customWidth="1"/>
    <col min="9744" max="9744" width="12.6640625" style="522" bestFit="1" customWidth="1"/>
    <col min="9745" max="9745" width="14.109375" style="522" bestFit="1" customWidth="1"/>
    <col min="9746" max="9746" width="8.88671875" style="522"/>
    <col min="9747" max="9747" width="15.88671875" style="522" customWidth="1"/>
    <col min="9748" max="9987" width="8.88671875" style="522"/>
    <col min="9988" max="9988" width="8.6640625" style="522" customWidth="1"/>
    <col min="9989" max="9989" width="7.88671875" style="522" customWidth="1"/>
    <col min="9990" max="9990" width="19.109375" style="522" bestFit="1" customWidth="1"/>
    <col min="9991" max="9992" width="13.77734375" style="522" customWidth="1"/>
    <col min="9993" max="9993" width="0" style="522" hidden="1" customWidth="1"/>
    <col min="9994" max="9994" width="13.77734375" style="522" customWidth="1"/>
    <col min="9995" max="9995" width="62.44140625" style="522" bestFit="1" customWidth="1"/>
    <col min="9996" max="9996" width="10.6640625" style="522" customWidth="1"/>
    <col min="9997" max="9997" width="20.109375" style="522" customWidth="1"/>
    <col min="9998" max="9998" width="13.88671875" style="522" bestFit="1" customWidth="1"/>
    <col min="9999" max="9999" width="12.6640625" style="522" customWidth="1"/>
    <col min="10000" max="10000" width="12.6640625" style="522" bestFit="1" customWidth="1"/>
    <col min="10001" max="10001" width="14.109375" style="522" bestFit="1" customWidth="1"/>
    <col min="10002" max="10002" width="8.88671875" style="522"/>
    <col min="10003" max="10003" width="15.88671875" style="522" customWidth="1"/>
    <col min="10004" max="10243" width="8.88671875" style="522"/>
    <col min="10244" max="10244" width="8.6640625" style="522" customWidth="1"/>
    <col min="10245" max="10245" width="7.88671875" style="522" customWidth="1"/>
    <col min="10246" max="10246" width="19.109375" style="522" bestFit="1" customWidth="1"/>
    <col min="10247" max="10248" width="13.77734375" style="522" customWidth="1"/>
    <col min="10249" max="10249" width="0" style="522" hidden="1" customWidth="1"/>
    <col min="10250" max="10250" width="13.77734375" style="522" customWidth="1"/>
    <col min="10251" max="10251" width="62.44140625" style="522" bestFit="1" customWidth="1"/>
    <col min="10252" max="10252" width="10.6640625" style="522" customWidth="1"/>
    <col min="10253" max="10253" width="20.109375" style="522" customWidth="1"/>
    <col min="10254" max="10254" width="13.88671875" style="522" bestFit="1" customWidth="1"/>
    <col min="10255" max="10255" width="12.6640625" style="522" customWidth="1"/>
    <col min="10256" max="10256" width="12.6640625" style="522" bestFit="1" customWidth="1"/>
    <col min="10257" max="10257" width="14.109375" style="522" bestFit="1" customWidth="1"/>
    <col min="10258" max="10258" width="8.88671875" style="522"/>
    <col min="10259" max="10259" width="15.88671875" style="522" customWidth="1"/>
    <col min="10260" max="10499" width="8.88671875" style="522"/>
    <col min="10500" max="10500" width="8.6640625" style="522" customWidth="1"/>
    <col min="10501" max="10501" width="7.88671875" style="522" customWidth="1"/>
    <col min="10502" max="10502" width="19.109375" style="522" bestFit="1" customWidth="1"/>
    <col min="10503" max="10504" width="13.77734375" style="522" customWidth="1"/>
    <col min="10505" max="10505" width="0" style="522" hidden="1" customWidth="1"/>
    <col min="10506" max="10506" width="13.77734375" style="522" customWidth="1"/>
    <col min="10507" max="10507" width="62.44140625" style="522" bestFit="1" customWidth="1"/>
    <col min="10508" max="10508" width="10.6640625" style="522" customWidth="1"/>
    <col min="10509" max="10509" width="20.109375" style="522" customWidth="1"/>
    <col min="10510" max="10510" width="13.88671875" style="522" bestFit="1" customWidth="1"/>
    <col min="10511" max="10511" width="12.6640625" style="522" customWidth="1"/>
    <col min="10512" max="10512" width="12.6640625" style="522" bestFit="1" customWidth="1"/>
    <col min="10513" max="10513" width="14.109375" style="522" bestFit="1" customWidth="1"/>
    <col min="10514" max="10514" width="8.88671875" style="522"/>
    <col min="10515" max="10515" width="15.88671875" style="522" customWidth="1"/>
    <col min="10516" max="10755" width="8.88671875" style="522"/>
    <col min="10756" max="10756" width="8.6640625" style="522" customWidth="1"/>
    <col min="10757" max="10757" width="7.88671875" style="522" customWidth="1"/>
    <col min="10758" max="10758" width="19.109375" style="522" bestFit="1" customWidth="1"/>
    <col min="10759" max="10760" width="13.77734375" style="522" customWidth="1"/>
    <col min="10761" max="10761" width="0" style="522" hidden="1" customWidth="1"/>
    <col min="10762" max="10762" width="13.77734375" style="522" customWidth="1"/>
    <col min="10763" max="10763" width="62.44140625" style="522" bestFit="1" customWidth="1"/>
    <col min="10764" max="10764" width="10.6640625" style="522" customWidth="1"/>
    <col min="10765" max="10765" width="20.109375" style="522" customWidth="1"/>
    <col min="10766" max="10766" width="13.88671875" style="522" bestFit="1" customWidth="1"/>
    <col min="10767" max="10767" width="12.6640625" style="522" customWidth="1"/>
    <col min="10768" max="10768" width="12.6640625" style="522" bestFit="1" customWidth="1"/>
    <col min="10769" max="10769" width="14.109375" style="522" bestFit="1" customWidth="1"/>
    <col min="10770" max="10770" width="8.88671875" style="522"/>
    <col min="10771" max="10771" width="15.88671875" style="522" customWidth="1"/>
    <col min="10772" max="11011" width="8.88671875" style="522"/>
    <col min="11012" max="11012" width="8.6640625" style="522" customWidth="1"/>
    <col min="11013" max="11013" width="7.88671875" style="522" customWidth="1"/>
    <col min="11014" max="11014" width="19.109375" style="522" bestFit="1" customWidth="1"/>
    <col min="11015" max="11016" width="13.77734375" style="522" customWidth="1"/>
    <col min="11017" max="11017" width="0" style="522" hidden="1" customWidth="1"/>
    <col min="11018" max="11018" width="13.77734375" style="522" customWidth="1"/>
    <col min="11019" max="11019" width="62.44140625" style="522" bestFit="1" customWidth="1"/>
    <col min="11020" max="11020" width="10.6640625" style="522" customWidth="1"/>
    <col min="11021" max="11021" width="20.109375" style="522" customWidth="1"/>
    <col min="11022" max="11022" width="13.88671875" style="522" bestFit="1" customWidth="1"/>
    <col min="11023" max="11023" width="12.6640625" style="522" customWidth="1"/>
    <col min="11024" max="11024" width="12.6640625" style="522" bestFit="1" customWidth="1"/>
    <col min="11025" max="11025" width="14.109375" style="522" bestFit="1" customWidth="1"/>
    <col min="11026" max="11026" width="8.88671875" style="522"/>
    <col min="11027" max="11027" width="15.88671875" style="522" customWidth="1"/>
    <col min="11028" max="11267" width="8.88671875" style="522"/>
    <col min="11268" max="11268" width="8.6640625" style="522" customWidth="1"/>
    <col min="11269" max="11269" width="7.88671875" style="522" customWidth="1"/>
    <col min="11270" max="11270" width="19.109375" style="522" bestFit="1" customWidth="1"/>
    <col min="11271" max="11272" width="13.77734375" style="522" customWidth="1"/>
    <col min="11273" max="11273" width="0" style="522" hidden="1" customWidth="1"/>
    <col min="11274" max="11274" width="13.77734375" style="522" customWidth="1"/>
    <col min="11275" max="11275" width="62.44140625" style="522" bestFit="1" customWidth="1"/>
    <col min="11276" max="11276" width="10.6640625" style="522" customWidth="1"/>
    <col min="11277" max="11277" width="20.109375" style="522" customWidth="1"/>
    <col min="11278" max="11278" width="13.88671875" style="522" bestFit="1" customWidth="1"/>
    <col min="11279" max="11279" width="12.6640625" style="522" customWidth="1"/>
    <col min="11280" max="11280" width="12.6640625" style="522" bestFit="1" customWidth="1"/>
    <col min="11281" max="11281" width="14.109375" style="522" bestFit="1" customWidth="1"/>
    <col min="11282" max="11282" width="8.88671875" style="522"/>
    <col min="11283" max="11283" width="15.88671875" style="522" customWidth="1"/>
    <col min="11284" max="11523" width="8.88671875" style="522"/>
    <col min="11524" max="11524" width="8.6640625" style="522" customWidth="1"/>
    <col min="11525" max="11525" width="7.88671875" style="522" customWidth="1"/>
    <col min="11526" max="11526" width="19.109375" style="522" bestFit="1" customWidth="1"/>
    <col min="11527" max="11528" width="13.77734375" style="522" customWidth="1"/>
    <col min="11529" max="11529" width="0" style="522" hidden="1" customWidth="1"/>
    <col min="11530" max="11530" width="13.77734375" style="522" customWidth="1"/>
    <col min="11531" max="11531" width="62.44140625" style="522" bestFit="1" customWidth="1"/>
    <col min="11532" max="11532" width="10.6640625" style="522" customWidth="1"/>
    <col min="11533" max="11533" width="20.109375" style="522" customWidth="1"/>
    <col min="11534" max="11534" width="13.88671875" style="522" bestFit="1" customWidth="1"/>
    <col min="11535" max="11535" width="12.6640625" style="522" customWidth="1"/>
    <col min="11536" max="11536" width="12.6640625" style="522" bestFit="1" customWidth="1"/>
    <col min="11537" max="11537" width="14.109375" style="522" bestFit="1" customWidth="1"/>
    <col min="11538" max="11538" width="8.88671875" style="522"/>
    <col min="11539" max="11539" width="15.88671875" style="522" customWidth="1"/>
    <col min="11540" max="11779" width="8.88671875" style="522"/>
    <col min="11780" max="11780" width="8.6640625" style="522" customWidth="1"/>
    <col min="11781" max="11781" width="7.88671875" style="522" customWidth="1"/>
    <col min="11782" max="11782" width="19.109375" style="522" bestFit="1" customWidth="1"/>
    <col min="11783" max="11784" width="13.77734375" style="522" customWidth="1"/>
    <col min="11785" max="11785" width="0" style="522" hidden="1" customWidth="1"/>
    <col min="11786" max="11786" width="13.77734375" style="522" customWidth="1"/>
    <col min="11787" max="11787" width="62.44140625" style="522" bestFit="1" customWidth="1"/>
    <col min="11788" max="11788" width="10.6640625" style="522" customWidth="1"/>
    <col min="11789" max="11789" width="20.109375" style="522" customWidth="1"/>
    <col min="11790" max="11790" width="13.88671875" style="522" bestFit="1" customWidth="1"/>
    <col min="11791" max="11791" width="12.6640625" style="522" customWidth="1"/>
    <col min="11792" max="11792" width="12.6640625" style="522" bestFit="1" customWidth="1"/>
    <col min="11793" max="11793" width="14.109375" style="522" bestFit="1" customWidth="1"/>
    <col min="11794" max="11794" width="8.88671875" style="522"/>
    <col min="11795" max="11795" width="15.88671875" style="522" customWidth="1"/>
    <col min="11796" max="12035" width="8.88671875" style="522"/>
    <col min="12036" max="12036" width="8.6640625" style="522" customWidth="1"/>
    <col min="12037" max="12037" width="7.88671875" style="522" customWidth="1"/>
    <col min="12038" max="12038" width="19.109375" style="522" bestFit="1" customWidth="1"/>
    <col min="12039" max="12040" width="13.77734375" style="522" customWidth="1"/>
    <col min="12041" max="12041" width="0" style="522" hidden="1" customWidth="1"/>
    <col min="12042" max="12042" width="13.77734375" style="522" customWidth="1"/>
    <col min="12043" max="12043" width="62.44140625" style="522" bestFit="1" customWidth="1"/>
    <col min="12044" max="12044" width="10.6640625" style="522" customWidth="1"/>
    <col min="12045" max="12045" width="20.109375" style="522" customWidth="1"/>
    <col min="12046" max="12046" width="13.88671875" style="522" bestFit="1" customWidth="1"/>
    <col min="12047" max="12047" width="12.6640625" style="522" customWidth="1"/>
    <col min="12048" max="12048" width="12.6640625" style="522" bestFit="1" customWidth="1"/>
    <col min="12049" max="12049" width="14.109375" style="522" bestFit="1" customWidth="1"/>
    <col min="12050" max="12050" width="8.88671875" style="522"/>
    <col min="12051" max="12051" width="15.88671875" style="522" customWidth="1"/>
    <col min="12052" max="12291" width="8.88671875" style="522"/>
    <col min="12292" max="12292" width="8.6640625" style="522" customWidth="1"/>
    <col min="12293" max="12293" width="7.88671875" style="522" customWidth="1"/>
    <col min="12294" max="12294" width="19.109375" style="522" bestFit="1" customWidth="1"/>
    <col min="12295" max="12296" width="13.77734375" style="522" customWidth="1"/>
    <col min="12297" max="12297" width="0" style="522" hidden="1" customWidth="1"/>
    <col min="12298" max="12298" width="13.77734375" style="522" customWidth="1"/>
    <col min="12299" max="12299" width="62.44140625" style="522" bestFit="1" customWidth="1"/>
    <col min="12300" max="12300" width="10.6640625" style="522" customWidth="1"/>
    <col min="12301" max="12301" width="20.109375" style="522" customWidth="1"/>
    <col min="12302" max="12302" width="13.88671875" style="522" bestFit="1" customWidth="1"/>
    <col min="12303" max="12303" width="12.6640625" style="522" customWidth="1"/>
    <col min="12304" max="12304" width="12.6640625" style="522" bestFit="1" customWidth="1"/>
    <col min="12305" max="12305" width="14.109375" style="522" bestFit="1" customWidth="1"/>
    <col min="12306" max="12306" width="8.88671875" style="522"/>
    <col min="12307" max="12307" width="15.88671875" style="522" customWidth="1"/>
    <col min="12308" max="12547" width="8.88671875" style="522"/>
    <col min="12548" max="12548" width="8.6640625" style="522" customWidth="1"/>
    <col min="12549" max="12549" width="7.88671875" style="522" customWidth="1"/>
    <col min="12550" max="12550" width="19.109375" style="522" bestFit="1" customWidth="1"/>
    <col min="12551" max="12552" width="13.77734375" style="522" customWidth="1"/>
    <col min="12553" max="12553" width="0" style="522" hidden="1" customWidth="1"/>
    <col min="12554" max="12554" width="13.77734375" style="522" customWidth="1"/>
    <col min="12555" max="12555" width="62.44140625" style="522" bestFit="1" customWidth="1"/>
    <col min="12556" max="12556" width="10.6640625" style="522" customWidth="1"/>
    <col min="12557" max="12557" width="20.109375" style="522" customWidth="1"/>
    <col min="12558" max="12558" width="13.88671875" style="522" bestFit="1" customWidth="1"/>
    <col min="12559" max="12559" width="12.6640625" style="522" customWidth="1"/>
    <col min="12560" max="12560" width="12.6640625" style="522" bestFit="1" customWidth="1"/>
    <col min="12561" max="12561" width="14.109375" style="522" bestFit="1" customWidth="1"/>
    <col min="12562" max="12562" width="8.88671875" style="522"/>
    <col min="12563" max="12563" width="15.88671875" style="522" customWidth="1"/>
    <col min="12564" max="12803" width="8.88671875" style="522"/>
    <col min="12804" max="12804" width="8.6640625" style="522" customWidth="1"/>
    <col min="12805" max="12805" width="7.88671875" style="522" customWidth="1"/>
    <col min="12806" max="12806" width="19.109375" style="522" bestFit="1" customWidth="1"/>
    <col min="12807" max="12808" width="13.77734375" style="522" customWidth="1"/>
    <col min="12809" max="12809" width="0" style="522" hidden="1" customWidth="1"/>
    <col min="12810" max="12810" width="13.77734375" style="522" customWidth="1"/>
    <col min="12811" max="12811" width="62.44140625" style="522" bestFit="1" customWidth="1"/>
    <col min="12812" max="12812" width="10.6640625" style="522" customWidth="1"/>
    <col min="12813" max="12813" width="20.109375" style="522" customWidth="1"/>
    <col min="12814" max="12814" width="13.88671875" style="522" bestFit="1" customWidth="1"/>
    <col min="12815" max="12815" width="12.6640625" style="522" customWidth="1"/>
    <col min="12816" max="12816" width="12.6640625" style="522" bestFit="1" customWidth="1"/>
    <col min="12817" max="12817" width="14.109375" style="522" bestFit="1" customWidth="1"/>
    <col min="12818" max="12818" width="8.88671875" style="522"/>
    <col min="12819" max="12819" width="15.88671875" style="522" customWidth="1"/>
    <col min="12820" max="13059" width="8.88671875" style="522"/>
    <col min="13060" max="13060" width="8.6640625" style="522" customWidth="1"/>
    <col min="13061" max="13061" width="7.88671875" style="522" customWidth="1"/>
    <col min="13062" max="13062" width="19.109375" style="522" bestFit="1" customWidth="1"/>
    <col min="13063" max="13064" width="13.77734375" style="522" customWidth="1"/>
    <col min="13065" max="13065" width="0" style="522" hidden="1" customWidth="1"/>
    <col min="13066" max="13066" width="13.77734375" style="522" customWidth="1"/>
    <col min="13067" max="13067" width="62.44140625" style="522" bestFit="1" customWidth="1"/>
    <col min="13068" max="13068" width="10.6640625" style="522" customWidth="1"/>
    <col min="13069" max="13069" width="20.109375" style="522" customWidth="1"/>
    <col min="13070" max="13070" width="13.88671875" style="522" bestFit="1" customWidth="1"/>
    <col min="13071" max="13071" width="12.6640625" style="522" customWidth="1"/>
    <col min="13072" max="13072" width="12.6640625" style="522" bestFit="1" customWidth="1"/>
    <col min="13073" max="13073" width="14.109375" style="522" bestFit="1" customWidth="1"/>
    <col min="13074" max="13074" width="8.88671875" style="522"/>
    <col min="13075" max="13075" width="15.88671875" style="522" customWidth="1"/>
    <col min="13076" max="13315" width="8.88671875" style="522"/>
    <col min="13316" max="13316" width="8.6640625" style="522" customWidth="1"/>
    <col min="13317" max="13317" width="7.88671875" style="522" customWidth="1"/>
    <col min="13318" max="13318" width="19.109375" style="522" bestFit="1" customWidth="1"/>
    <col min="13319" max="13320" width="13.77734375" style="522" customWidth="1"/>
    <col min="13321" max="13321" width="0" style="522" hidden="1" customWidth="1"/>
    <col min="13322" max="13322" width="13.77734375" style="522" customWidth="1"/>
    <col min="13323" max="13323" width="62.44140625" style="522" bestFit="1" customWidth="1"/>
    <col min="13324" max="13324" width="10.6640625" style="522" customWidth="1"/>
    <col min="13325" max="13325" width="20.109375" style="522" customWidth="1"/>
    <col min="13326" max="13326" width="13.88671875" style="522" bestFit="1" customWidth="1"/>
    <col min="13327" max="13327" width="12.6640625" style="522" customWidth="1"/>
    <col min="13328" max="13328" width="12.6640625" style="522" bestFit="1" customWidth="1"/>
    <col min="13329" max="13329" width="14.109375" style="522" bestFit="1" customWidth="1"/>
    <col min="13330" max="13330" width="8.88671875" style="522"/>
    <col min="13331" max="13331" width="15.88671875" style="522" customWidth="1"/>
    <col min="13332" max="13571" width="8.88671875" style="522"/>
    <col min="13572" max="13572" width="8.6640625" style="522" customWidth="1"/>
    <col min="13573" max="13573" width="7.88671875" style="522" customWidth="1"/>
    <col min="13574" max="13574" width="19.109375" style="522" bestFit="1" customWidth="1"/>
    <col min="13575" max="13576" width="13.77734375" style="522" customWidth="1"/>
    <col min="13577" max="13577" width="0" style="522" hidden="1" customWidth="1"/>
    <col min="13578" max="13578" width="13.77734375" style="522" customWidth="1"/>
    <col min="13579" max="13579" width="62.44140625" style="522" bestFit="1" customWidth="1"/>
    <col min="13580" max="13580" width="10.6640625" style="522" customWidth="1"/>
    <col min="13581" max="13581" width="20.109375" style="522" customWidth="1"/>
    <col min="13582" max="13582" width="13.88671875" style="522" bestFit="1" customWidth="1"/>
    <col min="13583" max="13583" width="12.6640625" style="522" customWidth="1"/>
    <col min="13584" max="13584" width="12.6640625" style="522" bestFit="1" customWidth="1"/>
    <col min="13585" max="13585" width="14.109375" style="522" bestFit="1" customWidth="1"/>
    <col min="13586" max="13586" width="8.88671875" style="522"/>
    <col min="13587" max="13587" width="15.88671875" style="522" customWidth="1"/>
    <col min="13588" max="13827" width="8.88671875" style="522"/>
    <col min="13828" max="13828" width="8.6640625" style="522" customWidth="1"/>
    <col min="13829" max="13829" width="7.88671875" style="522" customWidth="1"/>
    <col min="13830" max="13830" width="19.109375" style="522" bestFit="1" customWidth="1"/>
    <col min="13831" max="13832" width="13.77734375" style="522" customWidth="1"/>
    <col min="13833" max="13833" width="0" style="522" hidden="1" customWidth="1"/>
    <col min="13834" max="13834" width="13.77734375" style="522" customWidth="1"/>
    <col min="13835" max="13835" width="62.44140625" style="522" bestFit="1" customWidth="1"/>
    <col min="13836" max="13836" width="10.6640625" style="522" customWidth="1"/>
    <col min="13837" max="13837" width="20.109375" style="522" customWidth="1"/>
    <col min="13838" max="13838" width="13.88671875" style="522" bestFit="1" customWidth="1"/>
    <col min="13839" max="13839" width="12.6640625" style="522" customWidth="1"/>
    <col min="13840" max="13840" width="12.6640625" style="522" bestFit="1" customWidth="1"/>
    <col min="13841" max="13841" width="14.109375" style="522" bestFit="1" customWidth="1"/>
    <col min="13842" max="13842" width="8.88671875" style="522"/>
    <col min="13843" max="13843" width="15.88671875" style="522" customWidth="1"/>
    <col min="13844" max="14083" width="8.88671875" style="522"/>
    <col min="14084" max="14084" width="8.6640625" style="522" customWidth="1"/>
    <col min="14085" max="14085" width="7.88671875" style="522" customWidth="1"/>
    <col min="14086" max="14086" width="19.109375" style="522" bestFit="1" customWidth="1"/>
    <col min="14087" max="14088" width="13.77734375" style="522" customWidth="1"/>
    <col min="14089" max="14089" width="0" style="522" hidden="1" customWidth="1"/>
    <col min="14090" max="14090" width="13.77734375" style="522" customWidth="1"/>
    <col min="14091" max="14091" width="62.44140625" style="522" bestFit="1" customWidth="1"/>
    <col min="14092" max="14092" width="10.6640625" style="522" customWidth="1"/>
    <col min="14093" max="14093" width="20.109375" style="522" customWidth="1"/>
    <col min="14094" max="14094" width="13.88671875" style="522" bestFit="1" customWidth="1"/>
    <col min="14095" max="14095" width="12.6640625" style="522" customWidth="1"/>
    <col min="14096" max="14096" width="12.6640625" style="522" bestFit="1" customWidth="1"/>
    <col min="14097" max="14097" width="14.109375" style="522" bestFit="1" customWidth="1"/>
    <col min="14098" max="14098" width="8.88671875" style="522"/>
    <col min="14099" max="14099" width="15.88671875" style="522" customWidth="1"/>
    <col min="14100" max="14339" width="8.88671875" style="522"/>
    <col min="14340" max="14340" width="8.6640625" style="522" customWidth="1"/>
    <col min="14341" max="14341" width="7.88671875" style="522" customWidth="1"/>
    <col min="14342" max="14342" width="19.109375" style="522" bestFit="1" customWidth="1"/>
    <col min="14343" max="14344" width="13.77734375" style="522" customWidth="1"/>
    <col min="14345" max="14345" width="0" style="522" hidden="1" customWidth="1"/>
    <col min="14346" max="14346" width="13.77734375" style="522" customWidth="1"/>
    <col min="14347" max="14347" width="62.44140625" style="522" bestFit="1" customWidth="1"/>
    <col min="14348" max="14348" width="10.6640625" style="522" customWidth="1"/>
    <col min="14349" max="14349" width="20.109375" style="522" customWidth="1"/>
    <col min="14350" max="14350" width="13.88671875" style="522" bestFit="1" customWidth="1"/>
    <col min="14351" max="14351" width="12.6640625" style="522" customWidth="1"/>
    <col min="14352" max="14352" width="12.6640625" style="522" bestFit="1" customWidth="1"/>
    <col min="14353" max="14353" width="14.109375" style="522" bestFit="1" customWidth="1"/>
    <col min="14354" max="14354" width="8.88671875" style="522"/>
    <col min="14355" max="14355" width="15.88671875" style="522" customWidth="1"/>
    <col min="14356" max="14595" width="8.88671875" style="522"/>
    <col min="14596" max="14596" width="8.6640625" style="522" customWidth="1"/>
    <col min="14597" max="14597" width="7.88671875" style="522" customWidth="1"/>
    <col min="14598" max="14598" width="19.109375" style="522" bestFit="1" customWidth="1"/>
    <col min="14599" max="14600" width="13.77734375" style="522" customWidth="1"/>
    <col min="14601" max="14601" width="0" style="522" hidden="1" customWidth="1"/>
    <col min="14602" max="14602" width="13.77734375" style="522" customWidth="1"/>
    <col min="14603" max="14603" width="62.44140625" style="522" bestFit="1" customWidth="1"/>
    <col min="14604" max="14604" width="10.6640625" style="522" customWidth="1"/>
    <col min="14605" max="14605" width="20.109375" style="522" customWidth="1"/>
    <col min="14606" max="14606" width="13.88671875" style="522" bestFit="1" customWidth="1"/>
    <col min="14607" max="14607" width="12.6640625" style="522" customWidth="1"/>
    <col min="14608" max="14608" width="12.6640625" style="522" bestFit="1" customWidth="1"/>
    <col min="14609" max="14609" width="14.109375" style="522" bestFit="1" customWidth="1"/>
    <col min="14610" max="14610" width="8.88671875" style="522"/>
    <col min="14611" max="14611" width="15.88671875" style="522" customWidth="1"/>
    <col min="14612" max="14851" width="8.88671875" style="522"/>
    <col min="14852" max="14852" width="8.6640625" style="522" customWidth="1"/>
    <col min="14853" max="14853" width="7.88671875" style="522" customWidth="1"/>
    <col min="14854" max="14854" width="19.109375" style="522" bestFit="1" customWidth="1"/>
    <col min="14855" max="14856" width="13.77734375" style="522" customWidth="1"/>
    <col min="14857" max="14857" width="0" style="522" hidden="1" customWidth="1"/>
    <col min="14858" max="14858" width="13.77734375" style="522" customWidth="1"/>
    <col min="14859" max="14859" width="62.44140625" style="522" bestFit="1" customWidth="1"/>
    <col min="14860" max="14860" width="10.6640625" style="522" customWidth="1"/>
    <col min="14861" max="14861" width="20.109375" style="522" customWidth="1"/>
    <col min="14862" max="14862" width="13.88671875" style="522" bestFit="1" customWidth="1"/>
    <col min="14863" max="14863" width="12.6640625" style="522" customWidth="1"/>
    <col min="14864" max="14864" width="12.6640625" style="522" bestFit="1" customWidth="1"/>
    <col min="14865" max="14865" width="14.109375" style="522" bestFit="1" customWidth="1"/>
    <col min="14866" max="14866" width="8.88671875" style="522"/>
    <col min="14867" max="14867" width="15.88671875" style="522" customWidth="1"/>
    <col min="14868" max="15107" width="8.88671875" style="522"/>
    <col min="15108" max="15108" width="8.6640625" style="522" customWidth="1"/>
    <col min="15109" max="15109" width="7.88671875" style="522" customWidth="1"/>
    <col min="15110" max="15110" width="19.109375" style="522" bestFit="1" customWidth="1"/>
    <col min="15111" max="15112" width="13.77734375" style="522" customWidth="1"/>
    <col min="15113" max="15113" width="0" style="522" hidden="1" customWidth="1"/>
    <col min="15114" max="15114" width="13.77734375" style="522" customWidth="1"/>
    <col min="15115" max="15115" width="62.44140625" style="522" bestFit="1" customWidth="1"/>
    <col min="15116" max="15116" width="10.6640625" style="522" customWidth="1"/>
    <col min="15117" max="15117" width="20.109375" style="522" customWidth="1"/>
    <col min="15118" max="15118" width="13.88671875" style="522" bestFit="1" customWidth="1"/>
    <col min="15119" max="15119" width="12.6640625" style="522" customWidth="1"/>
    <col min="15120" max="15120" width="12.6640625" style="522" bestFit="1" customWidth="1"/>
    <col min="15121" max="15121" width="14.109375" style="522" bestFit="1" customWidth="1"/>
    <col min="15122" max="15122" width="8.88671875" style="522"/>
    <col min="15123" max="15123" width="15.88671875" style="522" customWidth="1"/>
    <col min="15124" max="15363" width="8.88671875" style="522"/>
    <col min="15364" max="15364" width="8.6640625" style="522" customWidth="1"/>
    <col min="15365" max="15365" width="7.88671875" style="522" customWidth="1"/>
    <col min="15366" max="15366" width="19.109375" style="522" bestFit="1" customWidth="1"/>
    <col min="15367" max="15368" width="13.77734375" style="522" customWidth="1"/>
    <col min="15369" max="15369" width="0" style="522" hidden="1" customWidth="1"/>
    <col min="15370" max="15370" width="13.77734375" style="522" customWidth="1"/>
    <col min="15371" max="15371" width="62.44140625" style="522" bestFit="1" customWidth="1"/>
    <col min="15372" max="15372" width="10.6640625" style="522" customWidth="1"/>
    <col min="15373" max="15373" width="20.109375" style="522" customWidth="1"/>
    <col min="15374" max="15374" width="13.88671875" style="522" bestFit="1" customWidth="1"/>
    <col min="15375" max="15375" width="12.6640625" style="522" customWidth="1"/>
    <col min="15376" max="15376" width="12.6640625" style="522" bestFit="1" customWidth="1"/>
    <col min="15377" max="15377" width="14.109375" style="522" bestFit="1" customWidth="1"/>
    <col min="15378" max="15378" width="8.88671875" style="522"/>
    <col min="15379" max="15379" width="15.88671875" style="522" customWidth="1"/>
    <col min="15380" max="15619" width="8.88671875" style="522"/>
    <col min="15620" max="15620" width="8.6640625" style="522" customWidth="1"/>
    <col min="15621" max="15621" width="7.88671875" style="522" customWidth="1"/>
    <col min="15622" max="15622" width="19.109375" style="522" bestFit="1" customWidth="1"/>
    <col min="15623" max="15624" width="13.77734375" style="522" customWidth="1"/>
    <col min="15625" max="15625" width="0" style="522" hidden="1" customWidth="1"/>
    <col min="15626" max="15626" width="13.77734375" style="522" customWidth="1"/>
    <col min="15627" max="15627" width="62.44140625" style="522" bestFit="1" customWidth="1"/>
    <col min="15628" max="15628" width="10.6640625" style="522" customWidth="1"/>
    <col min="15629" max="15629" width="20.109375" style="522" customWidth="1"/>
    <col min="15630" max="15630" width="13.88671875" style="522" bestFit="1" customWidth="1"/>
    <col min="15631" max="15631" width="12.6640625" style="522" customWidth="1"/>
    <col min="15632" max="15632" width="12.6640625" style="522" bestFit="1" customWidth="1"/>
    <col min="15633" max="15633" width="14.109375" style="522" bestFit="1" customWidth="1"/>
    <col min="15634" max="15634" width="8.88671875" style="522"/>
    <col min="15635" max="15635" width="15.88671875" style="522" customWidth="1"/>
    <col min="15636" max="15875" width="8.88671875" style="522"/>
    <col min="15876" max="15876" width="8.6640625" style="522" customWidth="1"/>
    <col min="15877" max="15877" width="7.88671875" style="522" customWidth="1"/>
    <col min="15878" max="15878" width="19.109375" style="522" bestFit="1" customWidth="1"/>
    <col min="15879" max="15880" width="13.77734375" style="522" customWidth="1"/>
    <col min="15881" max="15881" width="0" style="522" hidden="1" customWidth="1"/>
    <col min="15882" max="15882" width="13.77734375" style="522" customWidth="1"/>
    <col min="15883" max="15883" width="62.44140625" style="522" bestFit="1" customWidth="1"/>
    <col min="15884" max="15884" width="10.6640625" style="522" customWidth="1"/>
    <col min="15885" max="15885" width="20.109375" style="522" customWidth="1"/>
    <col min="15886" max="15886" width="13.88671875" style="522" bestFit="1" customWidth="1"/>
    <col min="15887" max="15887" width="12.6640625" style="522" customWidth="1"/>
    <col min="15888" max="15888" width="12.6640625" style="522" bestFit="1" customWidth="1"/>
    <col min="15889" max="15889" width="14.109375" style="522" bestFit="1" customWidth="1"/>
    <col min="15890" max="15890" width="8.88671875" style="522"/>
    <col min="15891" max="15891" width="15.88671875" style="522" customWidth="1"/>
    <col min="15892" max="16131" width="8.88671875" style="522"/>
    <col min="16132" max="16132" width="8.6640625" style="522" customWidth="1"/>
    <col min="16133" max="16133" width="7.88671875" style="522" customWidth="1"/>
    <col min="16134" max="16134" width="19.109375" style="522" bestFit="1" customWidth="1"/>
    <col min="16135" max="16136" width="13.77734375" style="522" customWidth="1"/>
    <col min="16137" max="16137" width="0" style="522" hidden="1" customWidth="1"/>
    <col min="16138" max="16138" width="13.77734375" style="522" customWidth="1"/>
    <col min="16139" max="16139" width="62.44140625" style="522" bestFit="1" customWidth="1"/>
    <col min="16140" max="16140" width="10.6640625" style="522" customWidth="1"/>
    <col min="16141" max="16141" width="20.109375" style="522" customWidth="1"/>
    <col min="16142" max="16142" width="13.88671875" style="522" bestFit="1" customWidth="1"/>
    <col min="16143" max="16143" width="12.6640625" style="522" customWidth="1"/>
    <col min="16144" max="16144" width="12.6640625" style="522" bestFit="1" customWidth="1"/>
    <col min="16145" max="16145" width="14.109375" style="522" bestFit="1" customWidth="1"/>
    <col min="16146" max="16146" width="8.88671875" style="522"/>
    <col min="16147" max="16147" width="15.88671875" style="522" customWidth="1"/>
    <col min="16148" max="16384" width="8.88671875" style="522"/>
  </cols>
  <sheetData>
    <row r="1" spans="1:16" ht="30.75" customHeight="1">
      <c r="A1" s="1269" t="s">
        <v>630</v>
      </c>
      <c r="B1" s="1269"/>
      <c r="C1" s="1269"/>
      <c r="D1" s="1269"/>
      <c r="E1" s="1269"/>
      <c r="F1" s="1269"/>
      <c r="G1" s="1269"/>
      <c r="H1" s="1269"/>
      <c r="I1" s="1269"/>
      <c r="J1" s="1269"/>
      <c r="K1" s="1269"/>
      <c r="L1" s="1269"/>
      <c r="M1" s="1269"/>
      <c r="N1" s="1269"/>
    </row>
    <row r="2" spans="1:16" ht="19.5" customHeight="1" thickBot="1">
      <c r="A2" s="913" t="s">
        <v>254</v>
      </c>
      <c r="B2" s="913"/>
      <c r="C2" s="913"/>
      <c r="D2" s="913"/>
      <c r="E2" s="913"/>
      <c r="F2" s="913"/>
      <c r="G2" s="913"/>
      <c r="H2" s="913"/>
      <c r="I2" s="1032"/>
      <c r="J2" s="913"/>
      <c r="K2" s="913"/>
      <c r="L2" s="913"/>
      <c r="M2" s="913"/>
      <c r="N2" s="1147"/>
    </row>
    <row r="3" spans="1:16" ht="15" thickBot="1">
      <c r="A3" s="861" t="s">
        <v>31</v>
      </c>
      <c r="B3" s="861"/>
      <c r="C3" s="861"/>
      <c r="D3" s="1271" t="s">
        <v>255</v>
      </c>
      <c r="E3" s="1271" t="s">
        <v>256</v>
      </c>
      <c r="F3" s="914" t="s">
        <v>257</v>
      </c>
      <c r="G3" s="1271" t="s">
        <v>258</v>
      </c>
      <c r="H3" s="915" t="s">
        <v>32</v>
      </c>
      <c r="I3" s="1031"/>
      <c r="J3" s="916"/>
      <c r="K3" s="916"/>
      <c r="L3" s="916"/>
      <c r="M3" s="917"/>
      <c r="N3" s="918" t="s">
        <v>37</v>
      </c>
    </row>
    <row r="4" spans="1:16" ht="15" thickBot="1">
      <c r="A4" s="882" t="s">
        <v>38</v>
      </c>
      <c r="B4" s="882" t="s">
        <v>39</v>
      </c>
      <c r="C4" s="883" t="s">
        <v>40</v>
      </c>
      <c r="D4" s="1272"/>
      <c r="E4" s="1272"/>
      <c r="F4" s="919"/>
      <c r="G4" s="1272"/>
      <c r="H4" s="920"/>
      <c r="I4" s="1032"/>
      <c r="J4" s="913"/>
      <c r="K4" s="913"/>
      <c r="L4" s="913"/>
      <c r="M4" s="921"/>
      <c r="N4" s="922"/>
    </row>
    <row r="5" spans="1:16" ht="15" thickBot="1">
      <c r="A5" s="640" t="s">
        <v>41</v>
      </c>
      <c r="B5" s="642"/>
      <c r="C5" s="923"/>
      <c r="D5" s="885">
        <f>D9+D185+D190+D198+D6+D205</f>
        <v>2293426887</v>
      </c>
      <c r="E5" s="577">
        <f>E6+E9+E185+E190+E198+E205</f>
        <v>2349424429</v>
      </c>
      <c r="F5" s="885" t="e">
        <f>F6+F9+F185+F190+F198+F205</f>
        <v>#REF!</v>
      </c>
      <c r="G5" s="577">
        <f>G6+G9+G185+G190+G198+G205</f>
        <v>55997542</v>
      </c>
      <c r="H5" s="573"/>
      <c r="I5" s="576"/>
      <c r="J5" s="575"/>
      <c r="K5" s="575"/>
      <c r="L5" s="575"/>
      <c r="M5" s="575"/>
      <c r="N5" s="577">
        <f>N6+N9+N185+N190+N198+N205</f>
        <v>2349424429</v>
      </c>
    </row>
    <row r="6" spans="1:16" ht="15" thickBot="1">
      <c r="A6" s="924" t="s">
        <v>137</v>
      </c>
      <c r="B6" s="583"/>
      <c r="C6" s="714"/>
      <c r="D6" s="886">
        <f>D7</f>
        <v>20000000</v>
      </c>
      <c r="E6" s="886">
        <f>E7</f>
        <v>20000000</v>
      </c>
      <c r="F6" s="886" t="e">
        <f>F7</f>
        <v>#REF!</v>
      </c>
      <c r="G6" s="583">
        <f t="shared" ref="G6:G11" si="0">E6-D6</f>
        <v>0</v>
      </c>
      <c r="H6" s="925"/>
      <c r="I6" s="926"/>
      <c r="J6" s="926"/>
      <c r="K6" s="926"/>
      <c r="L6" s="926"/>
      <c r="M6" s="926"/>
      <c r="N6" s="583">
        <f>N7</f>
        <v>20000000</v>
      </c>
    </row>
    <row r="7" spans="1:16" ht="15" thickBot="1">
      <c r="A7" s="927"/>
      <c r="B7" s="888" t="s">
        <v>137</v>
      </c>
      <c r="C7" s="888"/>
      <c r="D7" s="928">
        <f>D8</f>
        <v>20000000</v>
      </c>
      <c r="E7" s="928">
        <f>E8</f>
        <v>20000000</v>
      </c>
      <c r="F7" s="928" t="e">
        <f>F8+#REF!</f>
        <v>#REF!</v>
      </c>
      <c r="G7" s="583">
        <f t="shared" si="0"/>
        <v>0</v>
      </c>
      <c r="H7" s="929"/>
      <c r="I7" s="930"/>
      <c r="J7" s="930"/>
      <c r="K7" s="930"/>
      <c r="L7" s="930"/>
      <c r="M7" s="930"/>
      <c r="N7" s="888">
        <f>N8</f>
        <v>20000000</v>
      </c>
    </row>
    <row r="8" spans="1:16" ht="15" thickBot="1">
      <c r="A8" s="894"/>
      <c r="B8" s="887"/>
      <c r="C8" s="931" t="s">
        <v>138</v>
      </c>
      <c r="D8" s="924">
        <v>20000000</v>
      </c>
      <c r="E8" s="924">
        <f>N8</f>
        <v>20000000</v>
      </c>
      <c r="F8" s="577">
        <f t="shared" ref="F8" si="1">N8</f>
        <v>20000000</v>
      </c>
      <c r="G8" s="583">
        <f t="shared" si="0"/>
        <v>0</v>
      </c>
      <c r="H8" s="932" t="s">
        <v>595</v>
      </c>
      <c r="I8" s="1071"/>
      <c r="J8" s="933"/>
      <c r="K8" s="933"/>
      <c r="L8" s="933"/>
      <c r="M8" s="933"/>
      <c r="N8" s="710">
        <v>20000000</v>
      </c>
    </row>
    <row r="9" spans="1:16" ht="15" thickBot="1">
      <c r="A9" s="583" t="s">
        <v>33</v>
      </c>
      <c r="B9" s="583"/>
      <c r="C9" s="583" t="s">
        <v>42</v>
      </c>
      <c r="D9" s="886">
        <v>2088973810</v>
      </c>
      <c r="E9" s="886">
        <f>N9</f>
        <v>2115827910</v>
      </c>
      <c r="F9" s="886">
        <f>F10</f>
        <v>2115827910</v>
      </c>
      <c r="G9" s="583">
        <f t="shared" si="0"/>
        <v>26854100</v>
      </c>
      <c r="H9" s="934"/>
      <c r="I9" s="1072"/>
      <c r="J9" s="935"/>
      <c r="K9" s="935"/>
      <c r="L9" s="935"/>
      <c r="M9" s="935"/>
      <c r="N9" s="936">
        <f>N10</f>
        <v>2115827910</v>
      </c>
    </row>
    <row r="10" spans="1:16" ht="15" thickBot="1">
      <c r="A10" s="887"/>
      <c r="B10" s="888" t="s">
        <v>33</v>
      </c>
      <c r="C10" s="588"/>
      <c r="D10" s="886">
        <v>2088973810</v>
      </c>
      <c r="E10" s="886">
        <f>N10</f>
        <v>2115827910</v>
      </c>
      <c r="F10" s="889">
        <f>F11+F39+F141+F147+F152+F163+F125+F171</f>
        <v>2115827910</v>
      </c>
      <c r="G10" s="583">
        <f t="shared" si="0"/>
        <v>26854100</v>
      </c>
      <c r="H10" s="584"/>
      <c r="I10" s="587"/>
      <c r="J10" s="586"/>
      <c r="K10" s="586"/>
      <c r="L10" s="586"/>
      <c r="M10" s="586"/>
      <c r="N10" s="937">
        <f>N12+N39+N141+N147+N152+N161+N163+N171+N125</f>
        <v>2115827910</v>
      </c>
    </row>
    <row r="11" spans="1:16" ht="15" thickBot="1">
      <c r="A11" s="887"/>
      <c r="B11" s="887"/>
      <c r="C11" s="577" t="s">
        <v>44</v>
      </c>
      <c r="D11" s="591">
        <v>734986390</v>
      </c>
      <c r="E11" s="591">
        <f>N11</f>
        <v>758873660</v>
      </c>
      <c r="F11" s="885">
        <f>N12</f>
        <v>598896000</v>
      </c>
      <c r="G11" s="577">
        <f t="shared" si="0"/>
        <v>23887270</v>
      </c>
      <c r="H11" s="593" t="s">
        <v>44</v>
      </c>
      <c r="I11" s="594"/>
      <c r="J11" s="593"/>
      <c r="K11" s="593"/>
      <c r="L11" s="593"/>
      <c r="M11" s="797"/>
      <c r="N11" s="590">
        <f>N12+N39</f>
        <v>758873660</v>
      </c>
      <c r="P11" s="566"/>
    </row>
    <row r="12" spans="1:16" ht="15" thickBot="1">
      <c r="A12" s="887"/>
      <c r="B12" s="887"/>
      <c r="C12" s="890"/>
      <c r="D12" s="891"/>
      <c r="E12" s="892"/>
      <c r="F12" s="692"/>
      <c r="G12" s="891"/>
      <c r="H12" s="591" t="s">
        <v>3</v>
      </c>
      <c r="I12" s="594"/>
      <c r="J12" s="593"/>
      <c r="K12" s="593"/>
      <c r="L12" s="593"/>
      <c r="M12" s="797"/>
      <c r="N12" s="596">
        <f>SUM(N13:N38)</f>
        <v>598896000</v>
      </c>
    </row>
    <row r="13" spans="1:16" ht="24.95" customHeight="1">
      <c r="A13" s="887"/>
      <c r="B13" s="887"/>
      <c r="C13" s="890"/>
      <c r="D13" s="891"/>
      <c r="E13" s="887"/>
      <c r="F13" s="890"/>
      <c r="G13" s="891"/>
      <c r="H13" s="1264" t="s">
        <v>529</v>
      </c>
      <c r="I13" s="609">
        <v>5592000</v>
      </c>
      <c r="J13" s="608">
        <v>10</v>
      </c>
      <c r="K13" s="609" t="s">
        <v>451</v>
      </c>
      <c r="L13" s="609"/>
      <c r="M13" s="1267" t="s">
        <v>33</v>
      </c>
      <c r="N13" s="601">
        <f>I13*J13</f>
        <v>55920000</v>
      </c>
    </row>
    <row r="14" spans="1:16" ht="24.95" customHeight="1">
      <c r="A14" s="887"/>
      <c r="B14" s="887"/>
      <c r="C14" s="890"/>
      <c r="D14" s="891"/>
      <c r="E14" s="887"/>
      <c r="F14" s="890"/>
      <c r="G14" s="891"/>
      <c r="H14" s="1270"/>
      <c r="I14" s="604">
        <v>5592000</v>
      </c>
      <c r="J14" s="603">
        <v>2</v>
      </c>
      <c r="K14" s="604" t="s">
        <v>451</v>
      </c>
      <c r="L14" s="604"/>
      <c r="M14" s="1266"/>
      <c r="N14" s="605">
        <f t="shared" ref="N14:N38" si="2">I14*J14</f>
        <v>11184000</v>
      </c>
    </row>
    <row r="15" spans="1:16" ht="24.95" customHeight="1">
      <c r="A15" s="887"/>
      <c r="B15" s="887"/>
      <c r="C15" s="890"/>
      <c r="D15" s="891"/>
      <c r="E15" s="887"/>
      <c r="F15" s="890"/>
      <c r="G15" s="891"/>
      <c r="H15" s="1264" t="s">
        <v>527</v>
      </c>
      <c r="I15" s="609">
        <v>3657000</v>
      </c>
      <c r="J15" s="608">
        <v>3</v>
      </c>
      <c r="K15" s="609" t="s">
        <v>451</v>
      </c>
      <c r="L15" s="609"/>
      <c r="M15" s="1267" t="s">
        <v>33</v>
      </c>
      <c r="N15" s="610">
        <f t="shared" si="2"/>
        <v>10971000</v>
      </c>
    </row>
    <row r="16" spans="1:16" ht="24.95" customHeight="1">
      <c r="A16" s="887"/>
      <c r="B16" s="887"/>
      <c r="C16" s="890"/>
      <c r="D16" s="891"/>
      <c r="E16" s="887"/>
      <c r="F16" s="890"/>
      <c r="G16" s="891"/>
      <c r="H16" s="1259"/>
      <c r="I16" s="614">
        <v>3720000</v>
      </c>
      <c r="J16" s="613">
        <v>9</v>
      </c>
      <c r="K16" s="614" t="s">
        <v>451</v>
      </c>
      <c r="L16" s="614"/>
      <c r="M16" s="1268"/>
      <c r="N16" s="615">
        <f t="shared" si="2"/>
        <v>33480000</v>
      </c>
    </row>
    <row r="17" spans="1:14" ht="24.95" customHeight="1">
      <c r="A17" s="887"/>
      <c r="B17" s="887"/>
      <c r="C17" s="890"/>
      <c r="D17" s="891"/>
      <c r="E17" s="887"/>
      <c r="F17" s="890"/>
      <c r="G17" s="891"/>
      <c r="H17" s="1264" t="s">
        <v>525</v>
      </c>
      <c r="I17" s="600">
        <v>4303000</v>
      </c>
      <c r="J17" s="599">
        <v>6</v>
      </c>
      <c r="K17" s="600" t="s">
        <v>451</v>
      </c>
      <c r="L17" s="600"/>
      <c r="M17" s="1265" t="s">
        <v>33</v>
      </c>
      <c r="N17" s="616">
        <f t="shared" si="2"/>
        <v>25818000</v>
      </c>
    </row>
    <row r="18" spans="1:14" ht="24.95" customHeight="1">
      <c r="A18" s="887"/>
      <c r="B18" s="887"/>
      <c r="C18" s="890"/>
      <c r="D18" s="891"/>
      <c r="E18" s="887"/>
      <c r="F18" s="890"/>
      <c r="G18" s="891"/>
      <c r="H18" s="1259"/>
      <c r="I18" s="604">
        <v>4360000</v>
      </c>
      <c r="J18" s="603">
        <v>6</v>
      </c>
      <c r="K18" s="604" t="s">
        <v>451</v>
      </c>
      <c r="L18" s="604"/>
      <c r="M18" s="1266"/>
      <c r="N18" s="605">
        <f t="shared" si="2"/>
        <v>26160000</v>
      </c>
    </row>
    <row r="19" spans="1:14" ht="24.95" customHeight="1">
      <c r="A19" s="887"/>
      <c r="B19" s="887"/>
      <c r="C19" s="890"/>
      <c r="D19" s="891"/>
      <c r="E19" s="887"/>
      <c r="F19" s="890"/>
      <c r="G19" s="891"/>
      <c r="H19" s="1264" t="s">
        <v>525</v>
      </c>
      <c r="I19" s="609">
        <v>4070000</v>
      </c>
      <c r="J19" s="608">
        <v>8</v>
      </c>
      <c r="K19" s="609" t="s">
        <v>451</v>
      </c>
      <c r="L19" s="609"/>
      <c r="M19" s="1267" t="s">
        <v>33</v>
      </c>
      <c r="N19" s="610">
        <f t="shared" si="2"/>
        <v>32560000</v>
      </c>
    </row>
    <row r="20" spans="1:14" ht="24.95" customHeight="1">
      <c r="A20" s="887"/>
      <c r="B20" s="887"/>
      <c r="C20" s="890"/>
      <c r="D20" s="891"/>
      <c r="E20" s="887"/>
      <c r="F20" s="890"/>
      <c r="G20" s="891"/>
      <c r="H20" s="1259"/>
      <c r="I20" s="614">
        <v>4133000</v>
      </c>
      <c r="J20" s="613">
        <v>4</v>
      </c>
      <c r="K20" s="614" t="s">
        <v>451</v>
      </c>
      <c r="L20" s="614"/>
      <c r="M20" s="1268"/>
      <c r="N20" s="615">
        <f t="shared" si="2"/>
        <v>16532000</v>
      </c>
    </row>
    <row r="21" spans="1:14" ht="24.95" customHeight="1">
      <c r="A21" s="887"/>
      <c r="B21" s="887"/>
      <c r="C21" s="890"/>
      <c r="D21" s="891"/>
      <c r="E21" s="887"/>
      <c r="F21" s="890"/>
      <c r="G21" s="891"/>
      <c r="H21" s="1264" t="s">
        <v>525</v>
      </c>
      <c r="I21" s="600">
        <v>4192000</v>
      </c>
      <c r="J21" s="599">
        <v>11</v>
      </c>
      <c r="K21" s="600" t="s">
        <v>451</v>
      </c>
      <c r="L21" s="600"/>
      <c r="M21" s="1265" t="s">
        <v>33</v>
      </c>
      <c r="N21" s="616">
        <f t="shared" si="2"/>
        <v>46112000</v>
      </c>
    </row>
    <row r="22" spans="1:14" ht="24" customHeight="1">
      <c r="A22" s="887"/>
      <c r="B22" s="887"/>
      <c r="C22" s="890"/>
      <c r="D22" s="891"/>
      <c r="E22" s="887"/>
      <c r="F22" s="890"/>
      <c r="G22" s="891"/>
      <c r="H22" s="1259"/>
      <c r="I22" s="604">
        <v>4250000</v>
      </c>
      <c r="J22" s="603">
        <v>1</v>
      </c>
      <c r="K22" s="604" t="s">
        <v>451</v>
      </c>
      <c r="L22" s="604"/>
      <c r="M22" s="1266"/>
      <c r="N22" s="605">
        <f t="shared" si="2"/>
        <v>4250000</v>
      </c>
    </row>
    <row r="23" spans="1:14" ht="24.95" customHeight="1">
      <c r="A23" s="887"/>
      <c r="B23" s="887"/>
      <c r="C23" s="890"/>
      <c r="D23" s="891"/>
      <c r="E23" s="887"/>
      <c r="F23" s="890"/>
      <c r="G23" s="891"/>
      <c r="H23" s="617" t="s">
        <v>531</v>
      </c>
      <c r="I23" s="620">
        <v>2965000</v>
      </c>
      <c r="J23" s="619">
        <v>12</v>
      </c>
      <c r="K23" s="620" t="s">
        <v>451</v>
      </c>
      <c r="L23" s="620"/>
      <c r="M23" s="621" t="s">
        <v>33</v>
      </c>
      <c r="N23" s="622">
        <f t="shared" si="2"/>
        <v>35580000</v>
      </c>
    </row>
    <row r="24" spans="1:14" ht="24.95" customHeight="1">
      <c r="A24" s="887"/>
      <c r="B24" s="887"/>
      <c r="C24" s="890"/>
      <c r="D24" s="891"/>
      <c r="E24" s="887"/>
      <c r="F24" s="890"/>
      <c r="G24" s="891"/>
      <c r="H24" s="1273" t="s">
        <v>530</v>
      </c>
      <c r="I24" s="600">
        <v>3042000</v>
      </c>
      <c r="J24" s="599">
        <v>4</v>
      </c>
      <c r="K24" s="600" t="s">
        <v>451</v>
      </c>
      <c r="L24" s="600"/>
      <c r="M24" s="1265" t="s">
        <v>33</v>
      </c>
      <c r="N24" s="616">
        <f t="shared" si="2"/>
        <v>12168000</v>
      </c>
    </row>
    <row r="25" spans="1:14" ht="24" customHeight="1">
      <c r="A25" s="887"/>
      <c r="B25" s="887"/>
      <c r="C25" s="890"/>
      <c r="D25" s="891"/>
      <c r="E25" s="887"/>
      <c r="F25" s="890"/>
      <c r="G25" s="891"/>
      <c r="H25" s="1270"/>
      <c r="I25" s="604">
        <v>3119000</v>
      </c>
      <c r="J25" s="603">
        <v>8</v>
      </c>
      <c r="K25" s="604" t="s">
        <v>451</v>
      </c>
      <c r="L25" s="604"/>
      <c r="M25" s="1266"/>
      <c r="N25" s="605">
        <f t="shared" si="2"/>
        <v>24952000</v>
      </c>
    </row>
    <row r="26" spans="1:14" ht="25.5" customHeight="1">
      <c r="A26" s="887"/>
      <c r="B26" s="887"/>
      <c r="C26" s="890"/>
      <c r="D26" s="891"/>
      <c r="E26" s="887"/>
      <c r="F26" s="890"/>
      <c r="G26" s="891"/>
      <c r="H26" s="1264" t="s">
        <v>530</v>
      </c>
      <c r="I26" s="609">
        <v>2650000</v>
      </c>
      <c r="J26" s="608">
        <v>11</v>
      </c>
      <c r="K26" s="609" t="s">
        <v>451</v>
      </c>
      <c r="L26" s="609"/>
      <c r="M26" s="1267" t="s">
        <v>33</v>
      </c>
      <c r="N26" s="610">
        <f t="shared" si="2"/>
        <v>29150000</v>
      </c>
    </row>
    <row r="27" spans="1:14" ht="25.5" customHeight="1">
      <c r="A27" s="887"/>
      <c r="B27" s="887"/>
      <c r="C27" s="890"/>
      <c r="D27" s="891"/>
      <c r="E27" s="887"/>
      <c r="F27" s="890"/>
      <c r="G27" s="891"/>
      <c r="H27" s="1259"/>
      <c r="I27" s="614">
        <v>2746000</v>
      </c>
      <c r="J27" s="613">
        <v>1</v>
      </c>
      <c r="K27" s="614" t="s">
        <v>451</v>
      </c>
      <c r="L27" s="614"/>
      <c r="M27" s="1268"/>
      <c r="N27" s="615">
        <f t="shared" si="2"/>
        <v>2746000</v>
      </c>
    </row>
    <row r="28" spans="1:14" ht="24.95" customHeight="1">
      <c r="A28" s="887"/>
      <c r="B28" s="887"/>
      <c r="C28" s="890"/>
      <c r="D28" s="891"/>
      <c r="E28" s="887"/>
      <c r="F28" s="890"/>
      <c r="G28" s="891"/>
      <c r="H28" s="1273" t="s">
        <v>530</v>
      </c>
      <c r="I28" s="600">
        <v>3119000</v>
      </c>
      <c r="J28" s="599">
        <v>10</v>
      </c>
      <c r="K28" s="600" t="s">
        <v>451</v>
      </c>
      <c r="L28" s="600"/>
      <c r="M28" s="1265" t="s">
        <v>33</v>
      </c>
      <c r="N28" s="616">
        <f t="shared" si="2"/>
        <v>31190000</v>
      </c>
    </row>
    <row r="29" spans="1:14" ht="25.5" customHeight="1">
      <c r="A29" s="887"/>
      <c r="B29" s="887"/>
      <c r="C29" s="890"/>
      <c r="D29" s="891"/>
      <c r="E29" s="887"/>
      <c r="F29" s="890"/>
      <c r="G29" s="891"/>
      <c r="H29" s="1270"/>
      <c r="I29" s="604">
        <v>3170000</v>
      </c>
      <c r="J29" s="603">
        <v>2</v>
      </c>
      <c r="K29" s="604" t="s">
        <v>451</v>
      </c>
      <c r="L29" s="604"/>
      <c r="M29" s="1266"/>
      <c r="N29" s="605">
        <f t="shared" si="2"/>
        <v>6340000</v>
      </c>
    </row>
    <row r="30" spans="1:14" ht="24.95" customHeight="1">
      <c r="A30" s="887"/>
      <c r="B30" s="887"/>
      <c r="C30" s="890"/>
      <c r="D30" s="891"/>
      <c r="E30" s="887"/>
      <c r="F30" s="890"/>
      <c r="G30" s="891"/>
      <c r="H30" s="1264" t="s">
        <v>532</v>
      </c>
      <c r="I30" s="609">
        <v>2460000</v>
      </c>
      <c r="J30" s="608">
        <v>4</v>
      </c>
      <c r="K30" s="609" t="s">
        <v>451</v>
      </c>
      <c r="L30" s="609"/>
      <c r="M30" s="1267" t="s">
        <v>33</v>
      </c>
      <c r="N30" s="610">
        <f t="shared" si="2"/>
        <v>9840000</v>
      </c>
    </row>
    <row r="31" spans="1:14" ht="24.95" customHeight="1">
      <c r="A31" s="887"/>
      <c r="B31" s="887"/>
      <c r="C31" s="890"/>
      <c r="D31" s="891"/>
      <c r="E31" s="887"/>
      <c r="F31" s="890"/>
      <c r="G31" s="891"/>
      <c r="H31" s="1255"/>
      <c r="I31" s="697">
        <v>2484000</v>
      </c>
      <c r="J31" s="696">
        <v>8</v>
      </c>
      <c r="K31" s="697" t="s">
        <v>609</v>
      </c>
      <c r="L31" s="697"/>
      <c r="M31" s="1274"/>
      <c r="N31" s="1052">
        <f>I31*J31</f>
        <v>19872000</v>
      </c>
    </row>
    <row r="32" spans="1:14" ht="24.95" customHeight="1">
      <c r="A32" s="887"/>
      <c r="B32" s="887"/>
      <c r="C32" s="890"/>
      <c r="D32" s="891"/>
      <c r="E32" s="887"/>
      <c r="F32" s="890"/>
      <c r="G32" s="891"/>
      <c r="H32" s="623" t="s">
        <v>534</v>
      </c>
      <c r="I32" s="626">
        <v>3241000</v>
      </c>
      <c r="J32" s="625">
        <v>12</v>
      </c>
      <c r="K32" s="626" t="s">
        <v>451</v>
      </c>
      <c r="L32" s="626"/>
      <c r="M32" s="627" t="s">
        <v>33</v>
      </c>
      <c r="N32" s="628">
        <f t="shared" si="2"/>
        <v>38892000</v>
      </c>
    </row>
    <row r="33" spans="1:14" ht="24.95" customHeight="1">
      <c r="A33" s="887"/>
      <c r="B33" s="887"/>
      <c r="C33" s="890"/>
      <c r="D33" s="891"/>
      <c r="E33" s="887"/>
      <c r="F33" s="890"/>
      <c r="G33" s="891"/>
      <c r="H33" s="1264" t="s">
        <v>536</v>
      </c>
      <c r="I33" s="609">
        <v>2950000</v>
      </c>
      <c r="J33" s="608">
        <v>5</v>
      </c>
      <c r="K33" s="609" t="s">
        <v>451</v>
      </c>
      <c r="L33" s="609"/>
      <c r="M33" s="1267" t="s">
        <v>33</v>
      </c>
      <c r="N33" s="610">
        <f t="shared" si="2"/>
        <v>14750000</v>
      </c>
    </row>
    <row r="34" spans="1:14" ht="24.95" customHeight="1">
      <c r="A34" s="887"/>
      <c r="B34" s="887"/>
      <c r="C34" s="890"/>
      <c r="D34" s="891"/>
      <c r="E34" s="887"/>
      <c r="F34" s="890"/>
      <c r="G34" s="891"/>
      <c r="H34" s="1259"/>
      <c r="I34" s="614">
        <v>2999000</v>
      </c>
      <c r="J34" s="613">
        <v>7</v>
      </c>
      <c r="K34" s="614" t="s">
        <v>451</v>
      </c>
      <c r="L34" s="614"/>
      <c r="M34" s="1268"/>
      <c r="N34" s="615">
        <f t="shared" si="2"/>
        <v>20993000</v>
      </c>
    </row>
    <row r="35" spans="1:14" ht="24.95" customHeight="1">
      <c r="A35" s="887"/>
      <c r="B35" s="887"/>
      <c r="C35" s="890"/>
      <c r="D35" s="891"/>
      <c r="E35" s="887"/>
      <c r="F35" s="890"/>
      <c r="G35" s="891"/>
      <c r="H35" s="1254" t="s">
        <v>537</v>
      </c>
      <c r="I35" s="600">
        <v>2459000</v>
      </c>
      <c r="J35" s="599">
        <v>8</v>
      </c>
      <c r="K35" s="600" t="s">
        <v>451</v>
      </c>
      <c r="L35" s="600"/>
      <c r="M35" s="1277" t="s">
        <v>33</v>
      </c>
      <c r="N35" s="616">
        <f t="shared" si="2"/>
        <v>19672000</v>
      </c>
    </row>
    <row r="36" spans="1:14" ht="24.95" customHeight="1">
      <c r="A36" s="887"/>
      <c r="B36" s="887"/>
      <c r="C36" s="890"/>
      <c r="D36" s="891"/>
      <c r="E36" s="887"/>
      <c r="F36" s="890"/>
      <c r="G36" s="891"/>
      <c r="H36" s="1255"/>
      <c r="I36" s="604">
        <v>2480000</v>
      </c>
      <c r="J36" s="603">
        <v>4</v>
      </c>
      <c r="K36" s="604" t="s">
        <v>451</v>
      </c>
      <c r="L36" s="604"/>
      <c r="M36" s="1278"/>
      <c r="N36" s="605">
        <f t="shared" si="2"/>
        <v>9920000</v>
      </c>
    </row>
    <row r="37" spans="1:14" ht="24.95" customHeight="1">
      <c r="A37" s="887"/>
      <c r="B37" s="887"/>
      <c r="C37" s="890"/>
      <c r="D37" s="891"/>
      <c r="E37" s="887"/>
      <c r="F37" s="890"/>
      <c r="G37" s="891"/>
      <c r="H37" s="629" t="s">
        <v>537</v>
      </c>
      <c r="I37" s="620">
        <v>2459000</v>
      </c>
      <c r="J37" s="619">
        <v>12</v>
      </c>
      <c r="K37" s="620" t="s">
        <v>451</v>
      </c>
      <c r="L37" s="620"/>
      <c r="M37" s="621" t="s">
        <v>33</v>
      </c>
      <c r="N37" s="622">
        <f t="shared" si="2"/>
        <v>29508000</v>
      </c>
    </row>
    <row r="38" spans="1:14" ht="24.95" customHeight="1" thickBot="1">
      <c r="A38" s="887"/>
      <c r="B38" s="887"/>
      <c r="C38" s="890"/>
      <c r="D38" s="891"/>
      <c r="E38" s="893"/>
      <c r="F38" s="890"/>
      <c r="G38" s="891"/>
      <c r="H38" s="630" t="s">
        <v>539</v>
      </c>
      <c r="I38" s="633">
        <v>2528000</v>
      </c>
      <c r="J38" s="632">
        <v>12</v>
      </c>
      <c r="K38" s="633" t="s">
        <v>451</v>
      </c>
      <c r="L38" s="633"/>
      <c r="M38" s="634" t="s">
        <v>33</v>
      </c>
      <c r="N38" s="635">
        <f t="shared" si="2"/>
        <v>30336000</v>
      </c>
    </row>
    <row r="39" spans="1:14" ht="15" thickBot="1">
      <c r="A39" s="887"/>
      <c r="B39" s="887"/>
      <c r="C39" s="577" t="s">
        <v>160</v>
      </c>
      <c r="D39" s="885">
        <f>D40+D56+D81+D97+D120+D122</f>
        <v>153636390</v>
      </c>
      <c r="E39" s="577">
        <f>N39</f>
        <v>159977660</v>
      </c>
      <c r="F39" s="577">
        <f t="shared" ref="F39:F40" si="3">N39</f>
        <v>159977660</v>
      </c>
      <c r="G39" s="583">
        <f t="shared" ref="G39:G40" si="4">E39-D39</f>
        <v>6341270</v>
      </c>
      <c r="H39" s="636" t="s">
        <v>160</v>
      </c>
      <c r="I39" s="783"/>
      <c r="J39" s="638"/>
      <c r="K39" s="638"/>
      <c r="L39" s="638"/>
      <c r="M39" s="639"/>
      <c r="N39" s="639">
        <f>N40+N56+N81+N97+N120+N122</f>
        <v>159977660</v>
      </c>
    </row>
    <row r="40" spans="1:14" ht="15" thickBot="1">
      <c r="A40" s="887"/>
      <c r="B40" s="887"/>
      <c r="C40" s="887"/>
      <c r="D40" s="884">
        <v>21600000</v>
      </c>
      <c r="E40" s="577">
        <f>N40</f>
        <v>23400000</v>
      </c>
      <c r="F40" s="577">
        <f t="shared" si="3"/>
        <v>23400000</v>
      </c>
      <c r="G40" s="577">
        <f t="shared" si="4"/>
        <v>1800000</v>
      </c>
      <c r="H40" s="640" t="s">
        <v>4</v>
      </c>
      <c r="I40" s="643"/>
      <c r="J40" s="642"/>
      <c r="K40" s="642"/>
      <c r="L40" s="642"/>
      <c r="M40" s="923"/>
      <c r="N40" s="645">
        <f>SUM(N41:N55)</f>
        <v>23400000</v>
      </c>
    </row>
    <row r="41" spans="1:14" ht="24.75" customHeight="1">
      <c r="A41" s="887"/>
      <c r="B41" s="887"/>
      <c r="C41" s="887"/>
      <c r="D41" s="891"/>
      <c r="E41" s="892"/>
      <c r="F41" s="890"/>
      <c r="G41" s="891"/>
      <c r="H41" s="646" t="s">
        <v>528</v>
      </c>
      <c r="I41" s="647">
        <v>130000</v>
      </c>
      <c r="J41" s="648">
        <v>12</v>
      </c>
      <c r="K41" s="649" t="s">
        <v>451</v>
      </c>
      <c r="L41" s="647"/>
      <c r="M41" s="650" t="s">
        <v>33</v>
      </c>
      <c r="N41" s="651">
        <f t="shared" ref="N41:N55" si="5">I41*J41</f>
        <v>1560000</v>
      </c>
    </row>
    <row r="42" spans="1:14" ht="24.75" customHeight="1">
      <c r="A42" s="887"/>
      <c r="B42" s="887"/>
      <c r="C42" s="887"/>
      <c r="D42" s="891"/>
      <c r="E42" s="887"/>
      <c r="F42" s="890"/>
      <c r="G42" s="891"/>
      <c r="H42" s="629" t="s">
        <v>526</v>
      </c>
      <c r="I42" s="652">
        <v>130000</v>
      </c>
      <c r="J42" s="619">
        <v>12</v>
      </c>
      <c r="K42" s="620" t="s">
        <v>451</v>
      </c>
      <c r="L42" s="652"/>
      <c r="M42" s="653" t="s">
        <v>33</v>
      </c>
      <c r="N42" s="622">
        <f t="shared" si="5"/>
        <v>1560000</v>
      </c>
    </row>
    <row r="43" spans="1:14" ht="24.75" customHeight="1">
      <c r="A43" s="887"/>
      <c r="B43" s="887"/>
      <c r="C43" s="887"/>
      <c r="D43" s="891"/>
      <c r="E43" s="887"/>
      <c r="F43" s="890"/>
      <c r="G43" s="891"/>
      <c r="H43" s="629" t="s">
        <v>524</v>
      </c>
      <c r="I43" s="652">
        <v>130000</v>
      </c>
      <c r="J43" s="619">
        <v>12</v>
      </c>
      <c r="K43" s="620" t="s">
        <v>451</v>
      </c>
      <c r="L43" s="652"/>
      <c r="M43" s="653" t="s">
        <v>33</v>
      </c>
      <c r="N43" s="622">
        <f t="shared" si="5"/>
        <v>1560000</v>
      </c>
    </row>
    <row r="44" spans="1:14" ht="24.75" customHeight="1">
      <c r="A44" s="887"/>
      <c r="B44" s="887"/>
      <c r="C44" s="887"/>
      <c r="D44" s="891"/>
      <c r="E44" s="887"/>
      <c r="F44" s="890"/>
      <c r="G44" s="891"/>
      <c r="H44" s="617" t="s">
        <v>524</v>
      </c>
      <c r="I44" s="652">
        <v>130000</v>
      </c>
      <c r="J44" s="619">
        <v>12</v>
      </c>
      <c r="K44" s="620" t="s">
        <v>451</v>
      </c>
      <c r="L44" s="652"/>
      <c r="M44" s="653" t="s">
        <v>33</v>
      </c>
      <c r="N44" s="622">
        <f t="shared" si="5"/>
        <v>1560000</v>
      </c>
    </row>
    <row r="45" spans="1:14" ht="24.75" customHeight="1">
      <c r="A45" s="887"/>
      <c r="B45" s="887"/>
      <c r="C45" s="887"/>
      <c r="D45" s="891"/>
      <c r="E45" s="887"/>
      <c r="F45" s="890"/>
      <c r="G45" s="891"/>
      <c r="H45" s="617" t="s">
        <v>524</v>
      </c>
      <c r="I45" s="652">
        <v>130000</v>
      </c>
      <c r="J45" s="619">
        <v>12</v>
      </c>
      <c r="K45" s="620" t="s">
        <v>451</v>
      </c>
      <c r="L45" s="652"/>
      <c r="M45" s="653" t="s">
        <v>33</v>
      </c>
      <c r="N45" s="622">
        <f t="shared" si="5"/>
        <v>1560000</v>
      </c>
    </row>
    <row r="46" spans="1:14" ht="24.75" customHeight="1">
      <c r="A46" s="887"/>
      <c r="B46" s="887"/>
      <c r="C46" s="887"/>
      <c r="D46" s="891"/>
      <c r="E46" s="887"/>
      <c r="F46" s="890"/>
      <c r="G46" s="891"/>
      <c r="H46" s="617" t="s">
        <v>531</v>
      </c>
      <c r="I46" s="652">
        <v>130000</v>
      </c>
      <c r="J46" s="619">
        <v>12</v>
      </c>
      <c r="K46" s="620" t="s">
        <v>451</v>
      </c>
      <c r="L46" s="652"/>
      <c r="M46" s="653" t="s">
        <v>33</v>
      </c>
      <c r="N46" s="622">
        <f t="shared" si="5"/>
        <v>1560000</v>
      </c>
    </row>
    <row r="47" spans="1:14" ht="24.75" customHeight="1">
      <c r="A47" s="887"/>
      <c r="B47" s="887"/>
      <c r="C47" s="887"/>
      <c r="D47" s="891"/>
      <c r="E47" s="887"/>
      <c r="F47" s="890"/>
      <c r="G47" s="891"/>
      <c r="H47" s="617" t="s">
        <v>530</v>
      </c>
      <c r="I47" s="652">
        <v>130000</v>
      </c>
      <c r="J47" s="619">
        <v>12</v>
      </c>
      <c r="K47" s="620" t="s">
        <v>451</v>
      </c>
      <c r="L47" s="652"/>
      <c r="M47" s="653" t="s">
        <v>33</v>
      </c>
      <c r="N47" s="622">
        <f t="shared" si="5"/>
        <v>1560000</v>
      </c>
    </row>
    <row r="48" spans="1:14" ht="24.75" customHeight="1">
      <c r="A48" s="887"/>
      <c r="B48" s="887"/>
      <c r="C48" s="887"/>
      <c r="D48" s="891"/>
      <c r="E48" s="887"/>
      <c r="F48" s="890"/>
      <c r="G48" s="891"/>
      <c r="H48" s="617" t="s">
        <v>530</v>
      </c>
      <c r="I48" s="652">
        <v>130000</v>
      </c>
      <c r="J48" s="619">
        <v>12</v>
      </c>
      <c r="K48" s="620" t="s">
        <v>451</v>
      </c>
      <c r="L48" s="652"/>
      <c r="M48" s="653" t="s">
        <v>33</v>
      </c>
      <c r="N48" s="622">
        <f t="shared" si="5"/>
        <v>1560000</v>
      </c>
    </row>
    <row r="49" spans="1:14" ht="24.75" customHeight="1">
      <c r="A49" s="887"/>
      <c r="B49" s="887"/>
      <c r="C49" s="887"/>
      <c r="D49" s="891"/>
      <c r="E49" s="887"/>
      <c r="F49" s="890"/>
      <c r="G49" s="891"/>
      <c r="H49" s="617" t="s">
        <v>530</v>
      </c>
      <c r="I49" s="652">
        <v>130000</v>
      </c>
      <c r="J49" s="619">
        <v>12</v>
      </c>
      <c r="K49" s="620" t="s">
        <v>451</v>
      </c>
      <c r="L49" s="652"/>
      <c r="M49" s="653" t="s">
        <v>33</v>
      </c>
      <c r="N49" s="622">
        <f t="shared" si="5"/>
        <v>1560000</v>
      </c>
    </row>
    <row r="50" spans="1:14" ht="24.75" customHeight="1">
      <c r="A50" s="887"/>
      <c r="B50" s="887"/>
      <c r="C50" s="887"/>
      <c r="D50" s="891"/>
      <c r="E50" s="887"/>
      <c r="F50" s="890"/>
      <c r="G50" s="891"/>
      <c r="H50" s="1121" t="s">
        <v>532</v>
      </c>
      <c r="I50" s="652">
        <v>130000</v>
      </c>
      <c r="J50" s="603">
        <v>12</v>
      </c>
      <c r="K50" s="604" t="s">
        <v>451</v>
      </c>
      <c r="L50" s="604"/>
      <c r="M50" s="653" t="s">
        <v>33</v>
      </c>
      <c r="N50" s="1052">
        <f>I50*J50</f>
        <v>1560000</v>
      </c>
    </row>
    <row r="51" spans="1:14" ht="24.75" customHeight="1">
      <c r="A51" s="887"/>
      <c r="B51" s="887"/>
      <c r="C51" s="887"/>
      <c r="D51" s="891"/>
      <c r="E51" s="887"/>
      <c r="F51" s="890"/>
      <c r="G51" s="891"/>
      <c r="H51" s="654" t="s">
        <v>533</v>
      </c>
      <c r="I51" s="652">
        <v>130000</v>
      </c>
      <c r="J51" s="619">
        <v>12</v>
      </c>
      <c r="K51" s="620" t="s">
        <v>451</v>
      </c>
      <c r="L51" s="652"/>
      <c r="M51" s="653" t="s">
        <v>33</v>
      </c>
      <c r="N51" s="622">
        <f t="shared" si="5"/>
        <v>1560000</v>
      </c>
    </row>
    <row r="52" spans="1:14" ht="24.75" customHeight="1">
      <c r="A52" s="887"/>
      <c r="B52" s="887"/>
      <c r="C52" s="887"/>
      <c r="D52" s="891"/>
      <c r="E52" s="887"/>
      <c r="F52" s="890"/>
      <c r="G52" s="891"/>
      <c r="H52" s="655" t="s">
        <v>535</v>
      </c>
      <c r="I52" s="656">
        <v>130000</v>
      </c>
      <c r="J52" s="657">
        <v>12</v>
      </c>
      <c r="K52" s="658" t="s">
        <v>451</v>
      </c>
      <c r="L52" s="656"/>
      <c r="M52" s="659" t="s">
        <v>33</v>
      </c>
      <c r="N52" s="660">
        <f t="shared" si="5"/>
        <v>1560000</v>
      </c>
    </row>
    <row r="53" spans="1:14" ht="24.75" customHeight="1">
      <c r="A53" s="887"/>
      <c r="B53" s="887"/>
      <c r="C53" s="887"/>
      <c r="D53" s="891"/>
      <c r="E53" s="887"/>
      <c r="F53" s="890"/>
      <c r="G53" s="891"/>
      <c r="H53" s="654" t="s">
        <v>537</v>
      </c>
      <c r="I53" s="652">
        <v>130000</v>
      </c>
      <c r="J53" s="619">
        <v>12</v>
      </c>
      <c r="K53" s="620" t="s">
        <v>451</v>
      </c>
      <c r="L53" s="652"/>
      <c r="M53" s="653" t="s">
        <v>33</v>
      </c>
      <c r="N53" s="610">
        <f t="shared" si="5"/>
        <v>1560000</v>
      </c>
    </row>
    <row r="54" spans="1:14" ht="24.75" customHeight="1">
      <c r="A54" s="887"/>
      <c r="B54" s="887"/>
      <c r="C54" s="887"/>
      <c r="D54" s="891"/>
      <c r="E54" s="887"/>
      <c r="F54" s="890"/>
      <c r="G54" s="891"/>
      <c r="H54" s="654" t="s">
        <v>537</v>
      </c>
      <c r="I54" s="652">
        <v>130000</v>
      </c>
      <c r="J54" s="619">
        <v>12</v>
      </c>
      <c r="K54" s="620" t="s">
        <v>451</v>
      </c>
      <c r="L54" s="652"/>
      <c r="M54" s="653" t="s">
        <v>33</v>
      </c>
      <c r="N54" s="610">
        <f t="shared" si="5"/>
        <v>1560000</v>
      </c>
    </row>
    <row r="55" spans="1:14" ht="24.75" customHeight="1" thickBot="1">
      <c r="A55" s="887"/>
      <c r="B55" s="887"/>
      <c r="C55" s="887"/>
      <c r="D55" s="891"/>
      <c r="E55" s="887"/>
      <c r="F55" s="890"/>
      <c r="G55" s="891"/>
      <c r="H55" s="663" t="s">
        <v>539</v>
      </c>
      <c r="I55" s="664">
        <v>130000</v>
      </c>
      <c r="J55" s="665">
        <v>12</v>
      </c>
      <c r="K55" s="666" t="s">
        <v>451</v>
      </c>
      <c r="L55" s="664"/>
      <c r="M55" s="667" t="s">
        <v>33</v>
      </c>
      <c r="N55" s="668">
        <f t="shared" si="5"/>
        <v>1560000</v>
      </c>
    </row>
    <row r="56" spans="1:14" ht="15" thickBot="1">
      <c r="A56" s="887"/>
      <c r="B56" s="887"/>
      <c r="C56" s="890"/>
      <c r="D56" s="885">
        <v>57742190</v>
      </c>
      <c r="E56" s="577">
        <f>N56</f>
        <v>59600860</v>
      </c>
      <c r="F56" s="595">
        <f>N56</f>
        <v>59600860</v>
      </c>
      <c r="G56" s="577">
        <f t="shared" ref="G56" si="6">E56-D56</f>
        <v>1858670</v>
      </c>
      <c r="H56" s="591" t="s">
        <v>6</v>
      </c>
      <c r="I56" s="594"/>
      <c r="J56" s="593"/>
      <c r="K56" s="593"/>
      <c r="L56" s="593"/>
      <c r="M56" s="797"/>
      <c r="N56" s="596">
        <f>SUM(N57:N80)</f>
        <v>59600860</v>
      </c>
    </row>
    <row r="57" spans="1:14" ht="24" customHeight="1">
      <c r="A57" s="887"/>
      <c r="B57" s="887"/>
      <c r="C57" s="890"/>
      <c r="D57" s="891"/>
      <c r="E57" s="887"/>
      <c r="F57" s="692"/>
      <c r="G57" s="891"/>
      <c r="H57" s="1264" t="s">
        <v>527</v>
      </c>
      <c r="I57" s="609">
        <f t="shared" ref="I57:I80" si="7">I15</f>
        <v>3657000</v>
      </c>
      <c r="J57" s="671">
        <v>3</v>
      </c>
      <c r="K57" s="670" t="s">
        <v>451</v>
      </c>
      <c r="L57" s="670" t="s">
        <v>479</v>
      </c>
      <c r="M57" s="672" t="s">
        <v>33</v>
      </c>
      <c r="N57" s="673">
        <f>ROUNDDOWN((I57+130000)*1/209*15*1.5,-1)*J57</f>
        <v>1223070</v>
      </c>
    </row>
    <row r="58" spans="1:14" ht="24.95" customHeight="1">
      <c r="A58" s="887"/>
      <c r="B58" s="887"/>
      <c r="C58" s="890"/>
      <c r="D58" s="891"/>
      <c r="E58" s="887"/>
      <c r="F58" s="890"/>
      <c r="G58" s="891"/>
      <c r="H58" s="1259"/>
      <c r="I58" s="614">
        <f t="shared" si="7"/>
        <v>3720000</v>
      </c>
      <c r="J58" s="603">
        <v>9</v>
      </c>
      <c r="K58" s="604" t="s">
        <v>451</v>
      </c>
      <c r="L58" s="604" t="s">
        <v>479</v>
      </c>
      <c r="M58" s="674" t="s">
        <v>33</v>
      </c>
      <c r="N58" s="679">
        <f t="shared" ref="N58:N80" si="8">ROUNDDOWN((I58+130000)*1/209*15*1.5,-1)*J58</f>
        <v>3730230</v>
      </c>
    </row>
    <row r="59" spans="1:14" ht="24.95" customHeight="1">
      <c r="A59" s="887"/>
      <c r="B59" s="887"/>
      <c r="C59" s="890"/>
      <c r="D59" s="891"/>
      <c r="E59" s="887"/>
      <c r="F59" s="890"/>
      <c r="G59" s="891"/>
      <c r="H59" s="1264" t="s">
        <v>525</v>
      </c>
      <c r="I59" s="600">
        <f t="shared" si="7"/>
        <v>4303000</v>
      </c>
      <c r="J59" s="608">
        <v>6</v>
      </c>
      <c r="K59" s="609" t="s">
        <v>451</v>
      </c>
      <c r="L59" s="609" t="s">
        <v>479</v>
      </c>
      <c r="M59" s="676" t="s">
        <v>33</v>
      </c>
      <c r="N59" s="790">
        <f t="shared" si="8"/>
        <v>2863380</v>
      </c>
    </row>
    <row r="60" spans="1:14" ht="24.95" customHeight="1">
      <c r="A60" s="887"/>
      <c r="B60" s="887"/>
      <c r="C60" s="890"/>
      <c r="D60" s="891"/>
      <c r="E60" s="887"/>
      <c r="F60" s="890"/>
      <c r="G60" s="891"/>
      <c r="H60" s="1259"/>
      <c r="I60" s="614">
        <f t="shared" si="7"/>
        <v>4360000</v>
      </c>
      <c r="J60" s="613">
        <v>6</v>
      </c>
      <c r="K60" s="614" t="s">
        <v>451</v>
      </c>
      <c r="L60" s="614" t="s">
        <v>479</v>
      </c>
      <c r="M60" s="678" t="s">
        <v>33</v>
      </c>
      <c r="N60" s="679">
        <f t="shared" si="8"/>
        <v>2900220</v>
      </c>
    </row>
    <row r="61" spans="1:14" ht="24.95" customHeight="1">
      <c r="A61" s="887"/>
      <c r="B61" s="887"/>
      <c r="C61" s="890"/>
      <c r="D61" s="891"/>
      <c r="E61" s="887"/>
      <c r="F61" s="890"/>
      <c r="G61" s="891"/>
      <c r="H61" s="1264" t="s">
        <v>525</v>
      </c>
      <c r="I61" s="600">
        <f t="shared" si="7"/>
        <v>4070000</v>
      </c>
      <c r="J61" s="608">
        <v>8</v>
      </c>
      <c r="K61" s="609" t="s">
        <v>451</v>
      </c>
      <c r="L61" s="609" t="s">
        <v>479</v>
      </c>
      <c r="M61" s="676" t="s">
        <v>33</v>
      </c>
      <c r="N61" s="790">
        <f t="shared" si="8"/>
        <v>3617200</v>
      </c>
    </row>
    <row r="62" spans="1:14" ht="24.95" customHeight="1">
      <c r="A62" s="887"/>
      <c r="B62" s="887"/>
      <c r="C62" s="890"/>
      <c r="D62" s="891"/>
      <c r="E62" s="887"/>
      <c r="F62" s="890"/>
      <c r="G62" s="891"/>
      <c r="H62" s="1259"/>
      <c r="I62" s="614">
        <f t="shared" si="7"/>
        <v>4133000</v>
      </c>
      <c r="J62" s="613">
        <v>4</v>
      </c>
      <c r="K62" s="614" t="s">
        <v>451</v>
      </c>
      <c r="L62" s="614" t="s">
        <v>479</v>
      </c>
      <c r="M62" s="678" t="s">
        <v>33</v>
      </c>
      <c r="N62" s="679">
        <f t="shared" si="8"/>
        <v>1835720</v>
      </c>
    </row>
    <row r="63" spans="1:14" ht="24.95" customHeight="1">
      <c r="A63" s="887"/>
      <c r="B63" s="887"/>
      <c r="C63" s="890"/>
      <c r="D63" s="891"/>
      <c r="E63" s="887"/>
      <c r="F63" s="890"/>
      <c r="G63" s="891"/>
      <c r="H63" s="1264" t="s">
        <v>525</v>
      </c>
      <c r="I63" s="600">
        <f t="shared" si="7"/>
        <v>4192000</v>
      </c>
      <c r="J63" s="608">
        <v>11</v>
      </c>
      <c r="K63" s="609" t="s">
        <v>451</v>
      </c>
      <c r="L63" s="609" t="s">
        <v>479</v>
      </c>
      <c r="M63" s="676" t="s">
        <v>33</v>
      </c>
      <c r="N63" s="790">
        <f t="shared" si="8"/>
        <v>5118080</v>
      </c>
    </row>
    <row r="64" spans="1:14" ht="24.95" customHeight="1">
      <c r="A64" s="887"/>
      <c r="B64" s="887"/>
      <c r="C64" s="890"/>
      <c r="D64" s="891"/>
      <c r="E64" s="887"/>
      <c r="F64" s="890"/>
      <c r="G64" s="891"/>
      <c r="H64" s="1259"/>
      <c r="I64" s="614">
        <f t="shared" si="7"/>
        <v>4250000</v>
      </c>
      <c r="J64" s="613">
        <v>1</v>
      </c>
      <c r="K64" s="614" t="s">
        <v>451</v>
      </c>
      <c r="L64" s="614" t="s">
        <v>479</v>
      </c>
      <c r="M64" s="678" t="s">
        <v>33</v>
      </c>
      <c r="N64" s="679">
        <f t="shared" si="8"/>
        <v>471530</v>
      </c>
    </row>
    <row r="65" spans="1:14" ht="24.95" customHeight="1">
      <c r="A65" s="887"/>
      <c r="B65" s="887"/>
      <c r="C65" s="890"/>
      <c r="D65" s="891"/>
      <c r="E65" s="887"/>
      <c r="F65" s="890"/>
      <c r="G65" s="891"/>
      <c r="H65" s="617" t="s">
        <v>531</v>
      </c>
      <c r="I65" s="620">
        <f t="shared" si="7"/>
        <v>2965000</v>
      </c>
      <c r="J65" s="613">
        <v>12</v>
      </c>
      <c r="K65" s="626" t="s">
        <v>451</v>
      </c>
      <c r="L65" s="609" t="s">
        <v>479</v>
      </c>
      <c r="M65" s="682" t="s">
        <v>33</v>
      </c>
      <c r="N65" s="686">
        <f t="shared" si="8"/>
        <v>3998280</v>
      </c>
    </row>
    <row r="66" spans="1:14" ht="24.75" customHeight="1">
      <c r="A66" s="887"/>
      <c r="B66" s="887"/>
      <c r="C66" s="890"/>
      <c r="D66" s="891"/>
      <c r="E66" s="887"/>
      <c r="F66" s="890"/>
      <c r="G66" s="891"/>
      <c r="H66" s="1273" t="s">
        <v>530</v>
      </c>
      <c r="I66" s="600">
        <f t="shared" si="7"/>
        <v>3042000</v>
      </c>
      <c r="J66" s="599">
        <v>4</v>
      </c>
      <c r="K66" s="609" t="s">
        <v>451</v>
      </c>
      <c r="L66" s="609" t="s">
        <v>479</v>
      </c>
      <c r="M66" s="676" t="s">
        <v>33</v>
      </c>
      <c r="N66" s="790">
        <f t="shared" si="8"/>
        <v>1365920</v>
      </c>
    </row>
    <row r="67" spans="1:14" ht="24.95" customHeight="1">
      <c r="A67" s="887"/>
      <c r="B67" s="887"/>
      <c r="C67" s="890"/>
      <c r="D67" s="891"/>
      <c r="E67" s="887"/>
      <c r="F67" s="890"/>
      <c r="G67" s="891"/>
      <c r="H67" s="1270"/>
      <c r="I67" s="614">
        <f t="shared" si="7"/>
        <v>3119000</v>
      </c>
      <c r="J67" s="603">
        <v>8</v>
      </c>
      <c r="K67" s="614" t="s">
        <v>451</v>
      </c>
      <c r="L67" s="614" t="s">
        <v>479</v>
      </c>
      <c r="M67" s="678" t="s">
        <v>33</v>
      </c>
      <c r="N67" s="679">
        <f t="shared" si="8"/>
        <v>2798160</v>
      </c>
    </row>
    <row r="68" spans="1:14" ht="25.5" customHeight="1">
      <c r="A68" s="887"/>
      <c r="B68" s="887"/>
      <c r="C68" s="890"/>
      <c r="D68" s="891"/>
      <c r="E68" s="887"/>
      <c r="F68" s="890"/>
      <c r="G68" s="891"/>
      <c r="H68" s="1264" t="s">
        <v>530</v>
      </c>
      <c r="I68" s="600">
        <f t="shared" si="7"/>
        <v>2650000</v>
      </c>
      <c r="J68" s="608">
        <v>11</v>
      </c>
      <c r="K68" s="609" t="s">
        <v>451</v>
      </c>
      <c r="L68" s="609" t="s">
        <v>479</v>
      </c>
      <c r="M68" s="676" t="s">
        <v>33</v>
      </c>
      <c r="N68" s="790">
        <f t="shared" si="8"/>
        <v>3292080</v>
      </c>
    </row>
    <row r="69" spans="1:14" ht="26.25" customHeight="1">
      <c r="A69" s="887"/>
      <c r="B69" s="887"/>
      <c r="C69" s="890"/>
      <c r="D69" s="891"/>
      <c r="E69" s="887"/>
      <c r="F69" s="890"/>
      <c r="G69" s="891"/>
      <c r="H69" s="1259"/>
      <c r="I69" s="614">
        <f t="shared" si="7"/>
        <v>2746000</v>
      </c>
      <c r="J69" s="613">
        <v>1</v>
      </c>
      <c r="K69" s="614" t="s">
        <v>451</v>
      </c>
      <c r="L69" s="614" t="s">
        <v>479</v>
      </c>
      <c r="M69" s="678" t="s">
        <v>33</v>
      </c>
      <c r="N69" s="679">
        <f t="shared" si="8"/>
        <v>309610</v>
      </c>
    </row>
    <row r="70" spans="1:14" ht="26.25" customHeight="1">
      <c r="A70" s="887"/>
      <c r="B70" s="887"/>
      <c r="C70" s="890"/>
      <c r="D70" s="891"/>
      <c r="E70" s="887"/>
      <c r="F70" s="890"/>
      <c r="G70" s="891"/>
      <c r="H70" s="1264" t="s">
        <v>530</v>
      </c>
      <c r="I70" s="600">
        <f t="shared" si="7"/>
        <v>3119000</v>
      </c>
      <c r="J70" s="599">
        <v>10</v>
      </c>
      <c r="K70" s="609" t="s">
        <v>451</v>
      </c>
      <c r="L70" s="609" t="s">
        <v>479</v>
      </c>
      <c r="M70" s="676" t="s">
        <v>33</v>
      </c>
      <c r="N70" s="790">
        <f t="shared" si="8"/>
        <v>3497700</v>
      </c>
    </row>
    <row r="71" spans="1:14" ht="26.25" customHeight="1">
      <c r="A71" s="887"/>
      <c r="B71" s="887"/>
      <c r="C71" s="890"/>
      <c r="D71" s="891"/>
      <c r="E71" s="887"/>
      <c r="F71" s="890"/>
      <c r="G71" s="891"/>
      <c r="H71" s="1259"/>
      <c r="I71" s="614">
        <f t="shared" si="7"/>
        <v>3170000</v>
      </c>
      <c r="J71" s="613">
        <v>2</v>
      </c>
      <c r="K71" s="614" t="s">
        <v>451</v>
      </c>
      <c r="L71" s="614" t="s">
        <v>479</v>
      </c>
      <c r="M71" s="678" t="s">
        <v>33</v>
      </c>
      <c r="N71" s="679">
        <f t="shared" si="8"/>
        <v>710520</v>
      </c>
    </row>
    <row r="72" spans="1:14" ht="26.25" customHeight="1">
      <c r="A72" s="887"/>
      <c r="B72" s="887"/>
      <c r="C72" s="890"/>
      <c r="D72" s="891"/>
      <c r="E72" s="887"/>
      <c r="F72" s="890"/>
      <c r="G72" s="891"/>
      <c r="H72" s="1258" t="s">
        <v>532</v>
      </c>
      <c r="I72" s="600">
        <f t="shared" si="7"/>
        <v>2460000</v>
      </c>
      <c r="J72" s="599">
        <v>4</v>
      </c>
      <c r="K72" s="600" t="s">
        <v>451</v>
      </c>
      <c r="L72" s="600" t="s">
        <v>479</v>
      </c>
      <c r="M72" s="848" t="s">
        <v>33</v>
      </c>
      <c r="N72" s="790">
        <f t="shared" si="8"/>
        <v>1115280</v>
      </c>
    </row>
    <row r="73" spans="1:14" ht="26.25" customHeight="1">
      <c r="A73" s="887"/>
      <c r="B73" s="887"/>
      <c r="C73" s="890"/>
      <c r="D73" s="891"/>
      <c r="E73" s="887"/>
      <c r="F73" s="890"/>
      <c r="G73" s="891"/>
      <c r="H73" s="1259"/>
      <c r="I73" s="614">
        <f t="shared" si="7"/>
        <v>2484000</v>
      </c>
      <c r="J73" s="613">
        <v>8</v>
      </c>
      <c r="K73" s="614" t="s">
        <v>451</v>
      </c>
      <c r="L73" s="614" t="s">
        <v>479</v>
      </c>
      <c r="M73" s="678" t="s">
        <v>33</v>
      </c>
      <c r="N73" s="679">
        <f t="shared" si="8"/>
        <v>2251280</v>
      </c>
    </row>
    <row r="74" spans="1:14" ht="26.25" customHeight="1">
      <c r="A74" s="887"/>
      <c r="B74" s="887"/>
      <c r="C74" s="890"/>
      <c r="D74" s="891"/>
      <c r="E74" s="887"/>
      <c r="F74" s="890"/>
      <c r="G74" s="891"/>
      <c r="H74" s="623" t="s">
        <v>534</v>
      </c>
      <c r="I74" s="614">
        <f t="shared" si="7"/>
        <v>3241000</v>
      </c>
      <c r="J74" s="625">
        <v>12</v>
      </c>
      <c r="K74" s="652" t="s">
        <v>451</v>
      </c>
      <c r="L74" s="609" t="s">
        <v>479</v>
      </c>
      <c r="M74" s="685" t="s">
        <v>33</v>
      </c>
      <c r="N74" s="686">
        <f t="shared" si="8"/>
        <v>4354800</v>
      </c>
    </row>
    <row r="75" spans="1:14" ht="26.25" customHeight="1">
      <c r="A75" s="887"/>
      <c r="B75" s="887"/>
      <c r="C75" s="890"/>
      <c r="D75" s="891"/>
      <c r="E75" s="887"/>
      <c r="F75" s="890"/>
      <c r="G75" s="891"/>
      <c r="H75" s="1264" t="s">
        <v>536</v>
      </c>
      <c r="I75" s="600">
        <f t="shared" si="7"/>
        <v>2950000</v>
      </c>
      <c r="J75" s="608">
        <v>5</v>
      </c>
      <c r="K75" s="609" t="s">
        <v>451</v>
      </c>
      <c r="L75" s="609" t="s">
        <v>479</v>
      </c>
      <c r="M75" s="676" t="s">
        <v>33</v>
      </c>
      <c r="N75" s="790">
        <f t="shared" si="8"/>
        <v>1657850</v>
      </c>
    </row>
    <row r="76" spans="1:14" ht="26.25" customHeight="1">
      <c r="A76" s="887"/>
      <c r="B76" s="887"/>
      <c r="C76" s="890"/>
      <c r="D76" s="891"/>
      <c r="E76" s="887"/>
      <c r="F76" s="890"/>
      <c r="G76" s="891"/>
      <c r="H76" s="1259"/>
      <c r="I76" s="614">
        <f t="shared" si="7"/>
        <v>2999000</v>
      </c>
      <c r="J76" s="613">
        <v>7</v>
      </c>
      <c r="K76" s="614" t="s">
        <v>451</v>
      </c>
      <c r="L76" s="614" t="s">
        <v>479</v>
      </c>
      <c r="M76" s="678" t="s">
        <v>33</v>
      </c>
      <c r="N76" s="679">
        <f t="shared" si="8"/>
        <v>2357950</v>
      </c>
    </row>
    <row r="77" spans="1:14" ht="26.25" customHeight="1">
      <c r="A77" s="887"/>
      <c r="B77" s="887"/>
      <c r="C77" s="890"/>
      <c r="D77" s="891"/>
      <c r="E77" s="887"/>
      <c r="F77" s="890"/>
      <c r="G77" s="891"/>
      <c r="H77" s="1273" t="s">
        <v>537</v>
      </c>
      <c r="I77" s="600">
        <f t="shared" si="7"/>
        <v>2459000</v>
      </c>
      <c r="J77" s="599">
        <v>8</v>
      </c>
      <c r="K77" s="609" t="s">
        <v>451</v>
      </c>
      <c r="L77" s="609" t="s">
        <v>479</v>
      </c>
      <c r="M77" s="676" t="s">
        <v>33</v>
      </c>
      <c r="N77" s="790">
        <f t="shared" si="8"/>
        <v>2229760</v>
      </c>
    </row>
    <row r="78" spans="1:14" ht="26.25" customHeight="1">
      <c r="A78" s="887"/>
      <c r="B78" s="887"/>
      <c r="C78" s="890"/>
      <c r="D78" s="891"/>
      <c r="E78" s="887"/>
      <c r="F78" s="890"/>
      <c r="G78" s="891"/>
      <c r="H78" s="1270"/>
      <c r="I78" s="614">
        <f t="shared" si="7"/>
        <v>2480000</v>
      </c>
      <c r="J78" s="603">
        <v>4</v>
      </c>
      <c r="K78" s="600" t="s">
        <v>451</v>
      </c>
      <c r="L78" s="600" t="s">
        <v>479</v>
      </c>
      <c r="M78" s="848" t="s">
        <v>33</v>
      </c>
      <c r="N78" s="679">
        <f t="shared" si="8"/>
        <v>1123920</v>
      </c>
    </row>
    <row r="79" spans="1:14" ht="24.75" customHeight="1">
      <c r="A79" s="887"/>
      <c r="B79" s="887"/>
      <c r="C79" s="890"/>
      <c r="D79" s="891"/>
      <c r="E79" s="887"/>
      <c r="F79" s="890"/>
      <c r="G79" s="891"/>
      <c r="H79" s="629" t="s">
        <v>537</v>
      </c>
      <c r="I79" s="614">
        <f t="shared" si="7"/>
        <v>2459000</v>
      </c>
      <c r="J79" s="619">
        <v>12</v>
      </c>
      <c r="K79" s="620" t="s">
        <v>451</v>
      </c>
      <c r="L79" s="609" t="s">
        <v>479</v>
      </c>
      <c r="M79" s="685" t="s">
        <v>33</v>
      </c>
      <c r="N79" s="686">
        <f t="shared" si="8"/>
        <v>3344640</v>
      </c>
    </row>
    <row r="80" spans="1:14" ht="24.95" customHeight="1" thickBot="1">
      <c r="A80" s="887"/>
      <c r="B80" s="887"/>
      <c r="C80" s="890"/>
      <c r="D80" s="891"/>
      <c r="E80" s="887"/>
      <c r="F80" s="890"/>
      <c r="G80" s="891"/>
      <c r="H80" s="630" t="s">
        <v>539</v>
      </c>
      <c r="I80" s="614">
        <f t="shared" si="7"/>
        <v>2528000</v>
      </c>
      <c r="J80" s="632">
        <v>12</v>
      </c>
      <c r="K80" s="633" t="s">
        <v>451</v>
      </c>
      <c r="L80" s="609" t="s">
        <v>479</v>
      </c>
      <c r="M80" s="687" t="s">
        <v>33</v>
      </c>
      <c r="N80" s="688">
        <f t="shared" si="8"/>
        <v>3433680</v>
      </c>
    </row>
    <row r="81" spans="1:14" ht="15" thickBot="1">
      <c r="A81" s="887"/>
      <c r="B81" s="887"/>
      <c r="C81" s="890"/>
      <c r="D81" s="885">
        <v>8280000</v>
      </c>
      <c r="E81" s="577">
        <f>N81</f>
        <v>9240000</v>
      </c>
      <c r="F81" s="595">
        <f>N81</f>
        <v>9240000</v>
      </c>
      <c r="G81" s="577">
        <f t="shared" ref="G81" si="9">E81-D81</f>
        <v>960000</v>
      </c>
      <c r="H81" s="591" t="s">
        <v>5</v>
      </c>
      <c r="I81" s="594"/>
      <c r="J81" s="593"/>
      <c r="K81" s="593"/>
      <c r="L81" s="593"/>
      <c r="M81" s="797"/>
      <c r="N81" s="596">
        <f>SUM(N82:N96)</f>
        <v>9240000</v>
      </c>
    </row>
    <row r="82" spans="1:14" ht="23.25" customHeight="1">
      <c r="A82" s="887"/>
      <c r="B82" s="887"/>
      <c r="C82" s="890"/>
      <c r="D82" s="891"/>
      <c r="E82" s="887"/>
      <c r="F82" s="890"/>
      <c r="G82" s="891"/>
      <c r="H82" s="1254" t="s">
        <v>528</v>
      </c>
      <c r="I82" s="609">
        <v>40000</v>
      </c>
      <c r="J82" s="608">
        <v>12</v>
      </c>
      <c r="K82" s="609" t="s">
        <v>451</v>
      </c>
      <c r="L82" s="609" t="s">
        <v>480</v>
      </c>
      <c r="M82" s="1256" t="s">
        <v>33</v>
      </c>
      <c r="N82" s="974">
        <f t="shared" ref="N82:N85" si="10">I82*J82</f>
        <v>480000</v>
      </c>
    </row>
    <row r="83" spans="1:14" ht="23.25" customHeight="1">
      <c r="A83" s="887"/>
      <c r="B83" s="887"/>
      <c r="C83" s="890"/>
      <c r="D83" s="891"/>
      <c r="E83" s="887"/>
      <c r="F83" s="890"/>
      <c r="G83" s="891"/>
      <c r="H83" s="1255"/>
      <c r="I83" s="697">
        <v>20000</v>
      </c>
      <c r="J83" s="696">
        <v>12</v>
      </c>
      <c r="K83" s="697" t="s">
        <v>451</v>
      </c>
      <c r="L83" s="697" t="s">
        <v>482</v>
      </c>
      <c r="M83" s="1257"/>
      <c r="N83" s="707">
        <f t="shared" si="10"/>
        <v>240000</v>
      </c>
    </row>
    <row r="84" spans="1:14" ht="23.25" customHeight="1">
      <c r="A84" s="887"/>
      <c r="B84" s="887"/>
      <c r="C84" s="890"/>
      <c r="D84" s="891"/>
      <c r="E84" s="887"/>
      <c r="F84" s="890"/>
      <c r="G84" s="891"/>
      <c r="H84" s="655" t="s">
        <v>524</v>
      </c>
      <c r="I84" s="609">
        <v>40000</v>
      </c>
      <c r="J84" s="608">
        <v>12</v>
      </c>
      <c r="K84" s="609" t="s">
        <v>451</v>
      </c>
      <c r="L84" s="609" t="s">
        <v>480</v>
      </c>
      <c r="M84" s="1030" t="s">
        <v>33</v>
      </c>
      <c r="N84" s="974">
        <f t="shared" si="10"/>
        <v>480000</v>
      </c>
    </row>
    <row r="85" spans="1:14" ht="23.25" customHeight="1">
      <c r="A85" s="887"/>
      <c r="B85" s="887"/>
      <c r="C85" s="890"/>
      <c r="D85" s="891"/>
      <c r="E85" s="887"/>
      <c r="F85" s="890"/>
      <c r="G85" s="891"/>
      <c r="H85" s="1275" t="s">
        <v>524</v>
      </c>
      <c r="I85" s="609">
        <v>40000</v>
      </c>
      <c r="J85" s="608">
        <v>12</v>
      </c>
      <c r="K85" s="609" t="s">
        <v>451</v>
      </c>
      <c r="L85" s="609" t="s">
        <v>480</v>
      </c>
      <c r="M85" s="1263" t="s">
        <v>33</v>
      </c>
      <c r="N85" s="974">
        <f t="shared" si="10"/>
        <v>480000</v>
      </c>
    </row>
    <row r="86" spans="1:14" ht="23.25" customHeight="1">
      <c r="A86" s="887"/>
      <c r="B86" s="887"/>
      <c r="C86" s="890"/>
      <c r="D86" s="891"/>
      <c r="E86" s="887"/>
      <c r="F86" s="890"/>
      <c r="G86" s="891"/>
      <c r="H86" s="1276"/>
      <c r="I86" s="626">
        <v>50000</v>
      </c>
      <c r="J86" s="681">
        <v>12</v>
      </c>
      <c r="K86" s="626" t="s">
        <v>451</v>
      </c>
      <c r="L86" s="626" t="s">
        <v>576</v>
      </c>
      <c r="M86" s="1260"/>
      <c r="N86" s="707">
        <f t="shared" ref="N86:N92" si="11">I86*J86</f>
        <v>600000</v>
      </c>
    </row>
    <row r="87" spans="1:14" ht="23.25" customHeight="1">
      <c r="A87" s="887"/>
      <c r="B87" s="887"/>
      <c r="C87" s="890"/>
      <c r="D87" s="891"/>
      <c r="E87" s="887"/>
      <c r="F87" s="890"/>
      <c r="G87" s="891"/>
      <c r="H87" s="1254" t="s">
        <v>530</v>
      </c>
      <c r="I87" s="658">
        <v>40000</v>
      </c>
      <c r="J87" s="657">
        <v>12</v>
      </c>
      <c r="K87" s="658" t="s">
        <v>451</v>
      </c>
      <c r="L87" s="658" t="s">
        <v>480</v>
      </c>
      <c r="M87" s="1263" t="s">
        <v>33</v>
      </c>
      <c r="N87" s="974">
        <f t="shared" si="11"/>
        <v>480000</v>
      </c>
    </row>
    <row r="88" spans="1:14" ht="23.25" customHeight="1">
      <c r="A88" s="887"/>
      <c r="B88" s="887"/>
      <c r="C88" s="890"/>
      <c r="D88" s="891"/>
      <c r="E88" s="887"/>
      <c r="F88" s="890"/>
      <c r="G88" s="891"/>
      <c r="H88" s="1258"/>
      <c r="I88" s="604">
        <v>40000</v>
      </c>
      <c r="J88" s="603">
        <v>12</v>
      </c>
      <c r="K88" s="604" t="s">
        <v>451</v>
      </c>
      <c r="L88" s="604" t="s">
        <v>481</v>
      </c>
      <c r="M88" s="1260"/>
      <c r="N88" s="975">
        <f t="shared" si="11"/>
        <v>480000</v>
      </c>
    </row>
    <row r="89" spans="1:14" ht="23.25" customHeight="1">
      <c r="A89" s="887"/>
      <c r="B89" s="887"/>
      <c r="C89" s="890"/>
      <c r="D89" s="891"/>
      <c r="E89" s="887"/>
      <c r="F89" s="890"/>
      <c r="G89" s="891"/>
      <c r="H89" s="1255"/>
      <c r="I89" s="614">
        <v>250000</v>
      </c>
      <c r="J89" s="613">
        <v>12</v>
      </c>
      <c r="K89" s="614" t="s">
        <v>451</v>
      </c>
      <c r="L89" s="614" t="s">
        <v>483</v>
      </c>
      <c r="M89" s="1257"/>
      <c r="N89" s="707">
        <f t="shared" si="11"/>
        <v>3000000</v>
      </c>
    </row>
    <row r="90" spans="1:14" ht="23.25" customHeight="1">
      <c r="A90" s="887"/>
      <c r="B90" s="887"/>
      <c r="C90" s="890"/>
      <c r="D90" s="891"/>
      <c r="E90" s="887"/>
      <c r="F90" s="890"/>
      <c r="G90" s="891"/>
      <c r="H90" s="1254" t="s">
        <v>530</v>
      </c>
      <c r="I90" s="658">
        <v>40000</v>
      </c>
      <c r="J90" s="657">
        <v>12</v>
      </c>
      <c r="K90" s="658" t="s">
        <v>451</v>
      </c>
      <c r="L90" s="658" t="s">
        <v>480</v>
      </c>
      <c r="M90" s="1263" t="s">
        <v>33</v>
      </c>
      <c r="N90" s="974">
        <f t="shared" si="11"/>
        <v>480000</v>
      </c>
    </row>
    <row r="91" spans="1:14" ht="23.25" customHeight="1">
      <c r="A91" s="887"/>
      <c r="B91" s="887"/>
      <c r="C91" s="890"/>
      <c r="D91" s="891"/>
      <c r="E91" s="887"/>
      <c r="F91" s="890"/>
      <c r="G91" s="891"/>
      <c r="H91" s="1258"/>
      <c r="I91" s="604">
        <v>50000</v>
      </c>
      <c r="J91" s="603">
        <v>12</v>
      </c>
      <c r="K91" s="604" t="s">
        <v>451</v>
      </c>
      <c r="L91" s="604" t="s">
        <v>576</v>
      </c>
      <c r="M91" s="1260"/>
      <c r="N91" s="974">
        <f t="shared" si="11"/>
        <v>600000</v>
      </c>
    </row>
    <row r="92" spans="1:14" ht="23.25" customHeight="1">
      <c r="A92" s="887"/>
      <c r="B92" s="887"/>
      <c r="C92" s="890"/>
      <c r="D92" s="891"/>
      <c r="E92" s="887"/>
      <c r="F92" s="890"/>
      <c r="G92" s="891"/>
      <c r="H92" s="655" t="s">
        <v>532</v>
      </c>
      <c r="I92" s="620">
        <v>20000</v>
      </c>
      <c r="J92" s="619">
        <v>12</v>
      </c>
      <c r="K92" s="620" t="s">
        <v>451</v>
      </c>
      <c r="L92" s="620" t="s">
        <v>610</v>
      </c>
      <c r="M92" s="1030" t="s">
        <v>33</v>
      </c>
      <c r="N92" s="1053">
        <f t="shared" si="11"/>
        <v>240000</v>
      </c>
    </row>
    <row r="93" spans="1:14" ht="23.25" customHeight="1">
      <c r="A93" s="887"/>
      <c r="B93" s="887"/>
      <c r="C93" s="890"/>
      <c r="D93" s="891"/>
      <c r="E93" s="887"/>
      <c r="F93" s="890"/>
      <c r="G93" s="891"/>
      <c r="H93" s="1254" t="s">
        <v>535</v>
      </c>
      <c r="I93" s="658">
        <v>40000</v>
      </c>
      <c r="J93" s="657">
        <v>12</v>
      </c>
      <c r="K93" s="658" t="s">
        <v>451</v>
      </c>
      <c r="L93" s="658" t="s">
        <v>480</v>
      </c>
      <c r="M93" s="1263" t="s">
        <v>33</v>
      </c>
      <c r="N93" s="974">
        <f t="shared" ref="N93:N96" si="12">I93*J93</f>
        <v>480000</v>
      </c>
    </row>
    <row r="94" spans="1:14" ht="23.25" customHeight="1">
      <c r="A94" s="887"/>
      <c r="B94" s="887"/>
      <c r="C94" s="890"/>
      <c r="D94" s="891"/>
      <c r="E94" s="887"/>
      <c r="F94" s="890"/>
      <c r="G94" s="891"/>
      <c r="H94" s="1255"/>
      <c r="I94" s="604">
        <v>20000</v>
      </c>
      <c r="J94" s="603">
        <v>12</v>
      </c>
      <c r="K94" s="604" t="s">
        <v>451</v>
      </c>
      <c r="L94" s="604" t="s">
        <v>482</v>
      </c>
      <c r="M94" s="1260"/>
      <c r="N94" s="707">
        <f t="shared" si="12"/>
        <v>240000</v>
      </c>
    </row>
    <row r="95" spans="1:14" ht="23.25" customHeight="1">
      <c r="A95" s="887"/>
      <c r="B95" s="887"/>
      <c r="C95" s="890"/>
      <c r="D95" s="891"/>
      <c r="E95" s="887"/>
      <c r="F95" s="890"/>
      <c r="G95" s="891"/>
      <c r="H95" s="629" t="s">
        <v>533</v>
      </c>
      <c r="I95" s="620">
        <v>20000</v>
      </c>
      <c r="J95" s="619">
        <v>12</v>
      </c>
      <c r="K95" s="620" t="s">
        <v>451</v>
      </c>
      <c r="L95" s="620" t="s">
        <v>482</v>
      </c>
      <c r="M95" s="702" t="s">
        <v>33</v>
      </c>
      <c r="N95" s="707">
        <f t="shared" si="12"/>
        <v>240000</v>
      </c>
    </row>
    <row r="96" spans="1:14" ht="23.25" customHeight="1" thickBot="1">
      <c r="A96" s="887"/>
      <c r="B96" s="887"/>
      <c r="C96" s="890"/>
      <c r="D96" s="891"/>
      <c r="E96" s="887"/>
      <c r="F96" s="890"/>
      <c r="G96" s="891"/>
      <c r="H96" s="630" t="s">
        <v>539</v>
      </c>
      <c r="I96" s="633">
        <v>60000</v>
      </c>
      <c r="J96" s="632">
        <v>12</v>
      </c>
      <c r="K96" s="600" t="s">
        <v>451</v>
      </c>
      <c r="L96" s="633" t="s">
        <v>490</v>
      </c>
      <c r="M96" s="694" t="s">
        <v>33</v>
      </c>
      <c r="N96" s="707">
        <f t="shared" si="12"/>
        <v>720000</v>
      </c>
    </row>
    <row r="97" spans="1:14" ht="13.5" customHeight="1" thickBot="1">
      <c r="A97" s="887"/>
      <c r="B97" s="887"/>
      <c r="C97" s="890"/>
      <c r="D97" s="885">
        <v>58114200</v>
      </c>
      <c r="E97" s="577">
        <f>N97</f>
        <v>59836800</v>
      </c>
      <c r="F97" s="577">
        <f>N97</f>
        <v>59836800</v>
      </c>
      <c r="G97" s="577">
        <f t="shared" ref="G97" si="13">E97-D97</f>
        <v>1722600</v>
      </c>
      <c r="H97" s="591" t="s">
        <v>7</v>
      </c>
      <c r="I97" s="594"/>
      <c r="J97" s="593"/>
      <c r="K97" s="593"/>
      <c r="L97" s="593"/>
      <c r="M97" s="797"/>
      <c r="N97" s="596">
        <f>SUM(N98:N119)</f>
        <v>59836800</v>
      </c>
    </row>
    <row r="98" spans="1:14" ht="24.95" customHeight="1">
      <c r="A98" s="887"/>
      <c r="B98" s="887"/>
      <c r="C98" s="890"/>
      <c r="D98" s="891"/>
      <c r="E98" s="892"/>
      <c r="F98" s="890"/>
      <c r="G98" s="891"/>
      <c r="H98" s="715" t="s">
        <v>528</v>
      </c>
      <c r="I98" s="658">
        <v>5592000</v>
      </c>
      <c r="J98" s="658">
        <v>1</v>
      </c>
      <c r="K98" s="658" t="s">
        <v>453</v>
      </c>
      <c r="L98" s="658" t="s">
        <v>486</v>
      </c>
      <c r="M98" s="700" t="s">
        <v>33</v>
      </c>
      <c r="N98" s="686">
        <f>I98*1.2</f>
        <v>6710400</v>
      </c>
    </row>
    <row r="99" spans="1:14" ht="24.95" customHeight="1">
      <c r="A99" s="887"/>
      <c r="B99" s="887"/>
      <c r="C99" s="890"/>
      <c r="D99" s="891"/>
      <c r="E99" s="887"/>
      <c r="F99" s="890"/>
      <c r="G99" s="891"/>
      <c r="H99" s="1254" t="s">
        <v>526</v>
      </c>
      <c r="I99" s="609">
        <v>3657000</v>
      </c>
      <c r="J99" s="609">
        <v>1</v>
      </c>
      <c r="K99" s="609" t="s">
        <v>453</v>
      </c>
      <c r="L99" s="609" t="s">
        <v>484</v>
      </c>
      <c r="M99" s="1263" t="s">
        <v>33</v>
      </c>
      <c r="N99" s="717">
        <f>I99*0.6</f>
        <v>2194200</v>
      </c>
    </row>
    <row r="100" spans="1:14" ht="24.95" customHeight="1">
      <c r="A100" s="887"/>
      <c r="B100" s="887"/>
      <c r="C100" s="890"/>
      <c r="D100" s="891"/>
      <c r="E100" s="887"/>
      <c r="F100" s="890"/>
      <c r="G100" s="891"/>
      <c r="H100" s="1255"/>
      <c r="I100" s="614">
        <v>3720000</v>
      </c>
      <c r="J100" s="614">
        <v>1</v>
      </c>
      <c r="K100" s="614" t="s">
        <v>453</v>
      </c>
      <c r="L100" s="614" t="s">
        <v>484</v>
      </c>
      <c r="M100" s="1257"/>
      <c r="N100" s="679">
        <f>I100*0.6</f>
        <v>2232000</v>
      </c>
    </row>
    <row r="101" spans="1:14" ht="24.95" customHeight="1">
      <c r="A101" s="887"/>
      <c r="B101" s="887"/>
      <c r="C101" s="890"/>
      <c r="D101" s="891"/>
      <c r="E101" s="887"/>
      <c r="F101" s="890"/>
      <c r="G101" s="891"/>
      <c r="H101" s="1254" t="s">
        <v>524</v>
      </c>
      <c r="I101" s="600">
        <v>4303000</v>
      </c>
      <c r="J101" s="600">
        <v>1</v>
      </c>
      <c r="K101" s="600" t="s">
        <v>453</v>
      </c>
      <c r="L101" s="600" t="s">
        <v>484</v>
      </c>
      <c r="M101" s="1263" t="s">
        <v>33</v>
      </c>
      <c r="N101" s="683">
        <f t="shared" ref="N101:N104" si="14">I101*0.6</f>
        <v>2581800</v>
      </c>
    </row>
    <row r="102" spans="1:14" ht="24.95" customHeight="1">
      <c r="A102" s="887"/>
      <c r="B102" s="887"/>
      <c r="C102" s="890"/>
      <c r="D102" s="891"/>
      <c r="E102" s="887"/>
      <c r="F102" s="890"/>
      <c r="G102" s="891"/>
      <c r="H102" s="1255"/>
      <c r="I102" s="604">
        <v>4360000</v>
      </c>
      <c r="J102" s="604">
        <v>1</v>
      </c>
      <c r="K102" s="604" t="s">
        <v>453</v>
      </c>
      <c r="L102" s="604" t="s">
        <v>484</v>
      </c>
      <c r="M102" s="1257"/>
      <c r="N102" s="675">
        <f>I102*0.6</f>
        <v>2616000</v>
      </c>
    </row>
    <row r="103" spans="1:14" ht="24.95" customHeight="1">
      <c r="A103" s="887"/>
      <c r="B103" s="887"/>
      <c r="C103" s="890"/>
      <c r="D103" s="891"/>
      <c r="E103" s="887"/>
      <c r="F103" s="890"/>
      <c r="G103" s="891"/>
      <c r="H103" s="1254" t="s">
        <v>524</v>
      </c>
      <c r="I103" s="609">
        <v>4070000</v>
      </c>
      <c r="J103" s="609">
        <v>1</v>
      </c>
      <c r="K103" s="609" t="s">
        <v>453</v>
      </c>
      <c r="L103" s="609" t="s">
        <v>484</v>
      </c>
      <c r="M103" s="1263" t="s">
        <v>33</v>
      </c>
      <c r="N103" s="717">
        <f t="shared" si="14"/>
        <v>2442000</v>
      </c>
    </row>
    <row r="104" spans="1:14" ht="24.95" customHeight="1">
      <c r="A104" s="887"/>
      <c r="B104" s="887"/>
      <c r="C104" s="890"/>
      <c r="D104" s="891"/>
      <c r="E104" s="887"/>
      <c r="F104" s="890"/>
      <c r="G104" s="891"/>
      <c r="H104" s="1255"/>
      <c r="I104" s="614">
        <v>4133000</v>
      </c>
      <c r="J104" s="614">
        <v>1</v>
      </c>
      <c r="K104" s="614" t="s">
        <v>453</v>
      </c>
      <c r="L104" s="614" t="s">
        <v>484</v>
      </c>
      <c r="M104" s="1257"/>
      <c r="N104" s="679">
        <f t="shared" si="14"/>
        <v>2479800</v>
      </c>
    </row>
    <row r="105" spans="1:14" ht="24.95" customHeight="1">
      <c r="A105" s="887"/>
      <c r="B105" s="887"/>
      <c r="C105" s="890"/>
      <c r="D105" s="891"/>
      <c r="E105" s="887"/>
      <c r="F105" s="890"/>
      <c r="G105" s="891"/>
      <c r="H105" s="617" t="s">
        <v>524</v>
      </c>
      <c r="I105" s="620">
        <v>4192000</v>
      </c>
      <c r="J105" s="620">
        <v>1</v>
      </c>
      <c r="K105" s="620" t="s">
        <v>453</v>
      </c>
      <c r="L105" s="620" t="s">
        <v>485</v>
      </c>
      <c r="M105" s="702" t="s">
        <v>33</v>
      </c>
      <c r="N105" s="686">
        <f>I105*1.2</f>
        <v>5030400</v>
      </c>
    </row>
    <row r="106" spans="1:14" ht="24.95" customHeight="1">
      <c r="A106" s="887"/>
      <c r="B106" s="887"/>
      <c r="C106" s="890"/>
      <c r="D106" s="891"/>
      <c r="E106" s="887"/>
      <c r="F106" s="890"/>
      <c r="G106" s="891"/>
      <c r="H106" s="680" t="s">
        <v>530</v>
      </c>
      <c r="I106" s="626">
        <v>2965000</v>
      </c>
      <c r="J106" s="626">
        <v>1</v>
      </c>
      <c r="K106" s="626" t="s">
        <v>453</v>
      </c>
      <c r="L106" s="626" t="s">
        <v>486</v>
      </c>
      <c r="M106" s="700" t="s">
        <v>33</v>
      </c>
      <c r="N106" s="976">
        <f>I106*1.2</f>
        <v>3558000</v>
      </c>
    </row>
    <row r="107" spans="1:14" ht="24.95" customHeight="1">
      <c r="A107" s="887"/>
      <c r="B107" s="887"/>
      <c r="C107" s="890"/>
      <c r="D107" s="891"/>
      <c r="E107" s="887"/>
      <c r="F107" s="890"/>
      <c r="G107" s="891"/>
      <c r="H107" s="1254" t="s">
        <v>530</v>
      </c>
      <c r="I107" s="609">
        <v>3042000</v>
      </c>
      <c r="J107" s="609">
        <v>1</v>
      </c>
      <c r="K107" s="609" t="s">
        <v>453</v>
      </c>
      <c r="L107" s="718" t="s">
        <v>484</v>
      </c>
      <c r="M107" s="1263" t="s">
        <v>33</v>
      </c>
      <c r="N107" s="683">
        <f t="shared" ref="N107:N108" si="15">I107*0.6</f>
        <v>1825200</v>
      </c>
    </row>
    <row r="108" spans="1:14" ht="24.95" customHeight="1">
      <c r="A108" s="887"/>
      <c r="B108" s="887"/>
      <c r="C108" s="890"/>
      <c r="D108" s="891"/>
      <c r="E108" s="887"/>
      <c r="F108" s="890"/>
      <c r="G108" s="891"/>
      <c r="H108" s="1255"/>
      <c r="I108" s="614">
        <v>3119000</v>
      </c>
      <c r="J108" s="614">
        <v>1</v>
      </c>
      <c r="K108" s="614" t="s">
        <v>453</v>
      </c>
      <c r="L108" s="719" t="s">
        <v>484</v>
      </c>
      <c r="M108" s="1257"/>
      <c r="N108" s="675">
        <f t="shared" si="15"/>
        <v>1871400</v>
      </c>
    </row>
    <row r="109" spans="1:14" ht="24.95" customHeight="1">
      <c r="A109" s="887"/>
      <c r="B109" s="887"/>
      <c r="C109" s="890"/>
      <c r="D109" s="891"/>
      <c r="E109" s="887"/>
      <c r="F109" s="890"/>
      <c r="G109" s="891"/>
      <c r="H109" s="680" t="s">
        <v>530</v>
      </c>
      <c r="I109" s="626">
        <v>2650000</v>
      </c>
      <c r="J109" s="626">
        <v>1</v>
      </c>
      <c r="K109" s="626" t="s">
        <v>453</v>
      </c>
      <c r="L109" s="626" t="s">
        <v>485</v>
      </c>
      <c r="M109" s="700" t="s">
        <v>33</v>
      </c>
      <c r="N109" s="686">
        <f>I109*1.2</f>
        <v>3180000</v>
      </c>
    </row>
    <row r="110" spans="1:14" ht="24.95" customHeight="1">
      <c r="A110" s="887"/>
      <c r="B110" s="887"/>
      <c r="C110" s="890"/>
      <c r="D110" s="891"/>
      <c r="E110" s="887"/>
      <c r="F110" s="890"/>
      <c r="G110" s="891"/>
      <c r="H110" s="617" t="s">
        <v>530</v>
      </c>
      <c r="I110" s="620">
        <v>3119000</v>
      </c>
      <c r="J110" s="620">
        <v>1</v>
      </c>
      <c r="K110" s="620" t="s">
        <v>453</v>
      </c>
      <c r="L110" s="620" t="s">
        <v>485</v>
      </c>
      <c r="M110" s="702" t="s">
        <v>33</v>
      </c>
      <c r="N110" s="686">
        <f>I110*1.2</f>
        <v>3742800</v>
      </c>
    </row>
    <row r="111" spans="1:14" ht="24.95" customHeight="1">
      <c r="A111" s="887"/>
      <c r="B111" s="887"/>
      <c r="C111" s="890"/>
      <c r="D111" s="891"/>
      <c r="E111" s="887"/>
      <c r="F111" s="890"/>
      <c r="G111" s="891"/>
      <c r="H111" s="606" t="s">
        <v>540</v>
      </c>
      <c r="I111" s="609">
        <v>2460000</v>
      </c>
      <c r="J111" s="609">
        <v>1</v>
      </c>
      <c r="K111" s="609" t="s">
        <v>577</v>
      </c>
      <c r="L111" s="609" t="s">
        <v>484</v>
      </c>
      <c r="M111" s="693" t="s">
        <v>448</v>
      </c>
      <c r="N111" s="677">
        <f>I111*0.6</f>
        <v>1476000</v>
      </c>
    </row>
    <row r="112" spans="1:14" ht="24.95" customHeight="1">
      <c r="A112" s="887"/>
      <c r="B112" s="887"/>
      <c r="C112" s="890"/>
      <c r="D112" s="891"/>
      <c r="E112" s="887"/>
      <c r="F112" s="890"/>
      <c r="G112" s="891"/>
      <c r="H112" s="972" t="s">
        <v>540</v>
      </c>
      <c r="I112" s="697">
        <v>2484000</v>
      </c>
      <c r="J112" s="697">
        <v>1</v>
      </c>
      <c r="K112" s="697" t="s">
        <v>453</v>
      </c>
      <c r="L112" s="697" t="s">
        <v>484</v>
      </c>
      <c r="M112" s="698" t="s">
        <v>33</v>
      </c>
      <c r="N112" s="976">
        <f>I112*0.6</f>
        <v>1490400</v>
      </c>
    </row>
    <row r="113" spans="1:18" ht="24.95" customHeight="1">
      <c r="A113" s="887"/>
      <c r="B113" s="887"/>
      <c r="C113" s="890"/>
      <c r="D113" s="891"/>
      <c r="E113" s="887"/>
      <c r="F113" s="890"/>
      <c r="G113" s="891"/>
      <c r="H113" s="680" t="s">
        <v>533</v>
      </c>
      <c r="I113" s="626">
        <v>3241000</v>
      </c>
      <c r="J113" s="626">
        <v>1</v>
      </c>
      <c r="K113" s="626" t="s">
        <v>453</v>
      </c>
      <c r="L113" s="626" t="s">
        <v>485</v>
      </c>
      <c r="M113" s="700" t="s">
        <v>33</v>
      </c>
      <c r="N113" s="686">
        <f>I113*1.2</f>
        <v>3889200</v>
      </c>
    </row>
    <row r="114" spans="1:18" ht="24.95" customHeight="1">
      <c r="A114" s="887"/>
      <c r="B114" s="887"/>
      <c r="C114" s="890"/>
      <c r="D114" s="891"/>
      <c r="E114" s="887"/>
      <c r="F114" s="890"/>
      <c r="G114" s="891"/>
      <c r="H114" s="1261" t="s">
        <v>535</v>
      </c>
      <c r="I114" s="609">
        <v>2950000</v>
      </c>
      <c r="J114" s="609">
        <v>1</v>
      </c>
      <c r="K114" s="609" t="s">
        <v>453</v>
      </c>
      <c r="L114" s="718" t="s">
        <v>484</v>
      </c>
      <c r="M114" s="693" t="s">
        <v>33</v>
      </c>
      <c r="N114" s="683">
        <f t="shared" ref="N114:N117" si="16">I114*0.6</f>
        <v>1770000</v>
      </c>
    </row>
    <row r="115" spans="1:18" ht="24.95" customHeight="1">
      <c r="A115" s="887"/>
      <c r="B115" s="887"/>
      <c r="C115" s="890"/>
      <c r="D115" s="891"/>
      <c r="E115" s="887"/>
      <c r="F115" s="890"/>
      <c r="G115" s="891"/>
      <c r="H115" s="1262"/>
      <c r="I115" s="614">
        <v>2999000</v>
      </c>
      <c r="J115" s="614">
        <v>1</v>
      </c>
      <c r="K115" s="614" t="s">
        <v>453</v>
      </c>
      <c r="L115" s="719" t="s">
        <v>484</v>
      </c>
      <c r="M115" s="698" t="s">
        <v>33</v>
      </c>
      <c r="N115" s="679">
        <f t="shared" si="16"/>
        <v>1799400</v>
      </c>
    </row>
    <row r="116" spans="1:18" ht="24.95" customHeight="1">
      <c r="A116" s="887"/>
      <c r="B116" s="887"/>
      <c r="C116" s="890"/>
      <c r="D116" s="891"/>
      <c r="E116" s="887"/>
      <c r="F116" s="890"/>
      <c r="G116" s="891"/>
      <c r="H116" s="1254" t="s">
        <v>538</v>
      </c>
      <c r="I116" s="609">
        <v>2459000</v>
      </c>
      <c r="J116" s="609">
        <v>1</v>
      </c>
      <c r="K116" s="609" t="s">
        <v>453</v>
      </c>
      <c r="L116" s="718" t="s">
        <v>484</v>
      </c>
      <c r="M116" s="1263" t="s">
        <v>33</v>
      </c>
      <c r="N116" s="683">
        <f t="shared" si="16"/>
        <v>1475400</v>
      </c>
    </row>
    <row r="117" spans="1:18" ht="24.95" customHeight="1">
      <c r="A117" s="887"/>
      <c r="B117" s="887"/>
      <c r="C117" s="890"/>
      <c r="D117" s="891"/>
      <c r="E117" s="887"/>
      <c r="F117" s="890"/>
      <c r="G117" s="891"/>
      <c r="H117" s="1255"/>
      <c r="I117" s="614">
        <v>2480000</v>
      </c>
      <c r="J117" s="614">
        <v>1</v>
      </c>
      <c r="K117" s="614" t="s">
        <v>453</v>
      </c>
      <c r="L117" s="719" t="s">
        <v>484</v>
      </c>
      <c r="M117" s="1257"/>
      <c r="N117" s="675">
        <f t="shared" si="16"/>
        <v>1488000</v>
      </c>
    </row>
    <row r="118" spans="1:18" ht="24.95" customHeight="1">
      <c r="A118" s="887"/>
      <c r="B118" s="887"/>
      <c r="C118" s="890"/>
      <c r="D118" s="891"/>
      <c r="E118" s="887"/>
      <c r="F118" s="890"/>
      <c r="G118" s="891"/>
      <c r="H118" s="629" t="s">
        <v>537</v>
      </c>
      <c r="I118" s="620">
        <v>2459000</v>
      </c>
      <c r="J118" s="620">
        <v>1</v>
      </c>
      <c r="K118" s="620" t="s">
        <v>453</v>
      </c>
      <c r="L118" s="620" t="s">
        <v>485</v>
      </c>
      <c r="M118" s="702" t="s">
        <v>33</v>
      </c>
      <c r="N118" s="686">
        <f>I118*1.2</f>
        <v>2950800</v>
      </c>
    </row>
    <row r="119" spans="1:18" ht="24.95" customHeight="1" thickBot="1">
      <c r="A119" s="887"/>
      <c r="B119" s="887"/>
      <c r="C119" s="890"/>
      <c r="D119" s="891"/>
      <c r="E119" s="887"/>
      <c r="F119" s="890"/>
      <c r="G119" s="891"/>
      <c r="H119" s="630" t="s">
        <v>539</v>
      </c>
      <c r="I119" s="633">
        <v>2528000</v>
      </c>
      <c r="J119" s="633">
        <v>1</v>
      </c>
      <c r="K119" s="633" t="s">
        <v>453</v>
      </c>
      <c r="L119" s="633" t="s">
        <v>485</v>
      </c>
      <c r="M119" s="694" t="s">
        <v>33</v>
      </c>
      <c r="N119" s="686">
        <f>I119*1.2</f>
        <v>3033600</v>
      </c>
    </row>
    <row r="120" spans="1:18" ht="15" thickBot="1">
      <c r="A120" s="887"/>
      <c r="B120" s="887"/>
      <c r="C120" s="891"/>
      <c r="D120" s="885">
        <v>2400000</v>
      </c>
      <c r="E120" s="577">
        <v>2400000</v>
      </c>
      <c r="F120" s="577">
        <f>N120</f>
        <v>2400000</v>
      </c>
      <c r="G120" s="577">
        <f t="shared" ref="G120" si="17">E120-D120</f>
        <v>0</v>
      </c>
      <c r="H120" s="591" t="s">
        <v>8</v>
      </c>
      <c r="I120" s="594"/>
      <c r="J120" s="593"/>
      <c r="K120" s="593"/>
      <c r="L120" s="593"/>
      <c r="M120" s="797"/>
      <c r="N120" s="596">
        <f>SUM(N121)</f>
        <v>2400000</v>
      </c>
    </row>
    <row r="121" spans="1:18" ht="24.95" customHeight="1" thickBot="1">
      <c r="A121" s="887"/>
      <c r="B121" s="887"/>
      <c r="C121" s="890"/>
      <c r="D121" s="891"/>
      <c r="E121" s="887"/>
      <c r="F121" s="887"/>
      <c r="G121" s="891"/>
      <c r="H121" s="722" t="s">
        <v>10</v>
      </c>
      <c r="I121" s="725">
        <v>200000</v>
      </c>
      <c r="J121" s="724">
        <v>12</v>
      </c>
      <c r="K121" s="725" t="s">
        <v>451</v>
      </c>
      <c r="L121" s="725"/>
      <c r="M121" s="726" t="s">
        <v>33</v>
      </c>
      <c r="N121" s="716">
        <v>2400000</v>
      </c>
    </row>
    <row r="122" spans="1:18" ht="24.95" customHeight="1" thickBot="1">
      <c r="A122" s="887"/>
      <c r="B122" s="887"/>
      <c r="C122" s="891"/>
      <c r="D122" s="885">
        <v>5500000</v>
      </c>
      <c r="E122" s="577">
        <v>5500000</v>
      </c>
      <c r="F122" s="577">
        <f>N122</f>
        <v>5500000</v>
      </c>
      <c r="G122" s="577">
        <f t="shared" ref="G122" si="18">E122-D122</f>
        <v>0</v>
      </c>
      <c r="H122" s="689" t="s">
        <v>9</v>
      </c>
      <c r="I122" s="690"/>
      <c r="J122" s="691"/>
      <c r="K122" s="691"/>
      <c r="L122" s="691"/>
      <c r="M122" s="938"/>
      <c r="N122" s="596">
        <f>SUM(N123:N124)</f>
        <v>5500000</v>
      </c>
    </row>
    <row r="123" spans="1:18" ht="24.6" customHeight="1">
      <c r="A123" s="887"/>
      <c r="B123" s="887"/>
      <c r="C123" s="890"/>
      <c r="D123" s="891"/>
      <c r="E123" s="892"/>
      <c r="F123" s="892"/>
      <c r="G123" s="891"/>
      <c r="H123" s="728" t="s">
        <v>104</v>
      </c>
      <c r="I123" s="729">
        <v>400000</v>
      </c>
      <c r="J123" s="729">
        <v>10</v>
      </c>
      <c r="K123" s="729" t="s">
        <v>487</v>
      </c>
      <c r="L123" s="730"/>
      <c r="M123" s="731" t="s">
        <v>33</v>
      </c>
      <c r="N123" s="683">
        <v>4000000</v>
      </c>
      <c r="R123" s="566"/>
    </row>
    <row r="124" spans="1:18" ht="24.6" customHeight="1" thickBot="1">
      <c r="A124" s="887"/>
      <c r="B124" s="887"/>
      <c r="C124" s="890"/>
      <c r="D124" s="891"/>
      <c r="E124" s="893"/>
      <c r="F124" s="893"/>
      <c r="G124" s="891"/>
      <c r="H124" s="732" t="s">
        <v>442</v>
      </c>
      <c r="I124" s="733">
        <v>300000</v>
      </c>
      <c r="J124" s="733">
        <v>5</v>
      </c>
      <c r="K124" s="733" t="s">
        <v>487</v>
      </c>
      <c r="L124" s="664"/>
      <c r="M124" s="667" t="s">
        <v>33</v>
      </c>
      <c r="N124" s="683">
        <v>1500000</v>
      </c>
    </row>
    <row r="125" spans="1:18" ht="15" thickBot="1">
      <c r="A125" s="887"/>
      <c r="B125" s="887"/>
      <c r="C125" s="891"/>
      <c r="D125" s="885">
        <v>60790540</v>
      </c>
      <c r="E125" s="577">
        <f>N125</f>
        <v>62780990</v>
      </c>
      <c r="F125" s="577">
        <f>N125</f>
        <v>62780990</v>
      </c>
      <c r="G125" s="577">
        <f t="shared" ref="G125" si="19">E125-D125</f>
        <v>1990450</v>
      </c>
      <c r="H125" s="591" t="s">
        <v>108</v>
      </c>
      <c r="I125" s="594"/>
      <c r="J125" s="593"/>
      <c r="K125" s="593"/>
      <c r="L125" s="593"/>
      <c r="M125" s="797"/>
      <c r="N125" s="596">
        <f>SUM(N126:N140)</f>
        <v>62780990</v>
      </c>
      <c r="Q125" s="566"/>
    </row>
    <row r="126" spans="1:18" ht="24.95" customHeight="1">
      <c r="A126" s="887"/>
      <c r="B126" s="887"/>
      <c r="C126" s="890"/>
      <c r="D126" s="891"/>
      <c r="E126" s="892"/>
      <c r="F126" s="890"/>
      <c r="G126" s="891"/>
      <c r="H126" s="734" t="s">
        <v>528</v>
      </c>
      <c r="I126" s="600">
        <v>78494400</v>
      </c>
      <c r="J126" s="735">
        <v>12</v>
      </c>
      <c r="K126" s="599" t="s">
        <v>462</v>
      </c>
      <c r="L126" s="736">
        <v>8.3299999999999999E-2</v>
      </c>
      <c r="M126" s="694" t="s">
        <v>33</v>
      </c>
      <c r="N126" s="720">
        <v>6541200</v>
      </c>
    </row>
    <row r="127" spans="1:18" ht="24.95" customHeight="1">
      <c r="A127" s="887"/>
      <c r="B127" s="887"/>
      <c r="C127" s="890"/>
      <c r="D127" s="891"/>
      <c r="E127" s="887"/>
      <c r="F127" s="890"/>
      <c r="G127" s="891"/>
      <c r="H127" s="737" t="s">
        <v>526</v>
      </c>
      <c r="I127" s="706">
        <v>55390500</v>
      </c>
      <c r="J127" s="738">
        <v>12</v>
      </c>
      <c r="K127" s="705" t="s">
        <v>462</v>
      </c>
      <c r="L127" s="739">
        <v>8.3299999999999999E-2</v>
      </c>
      <c r="M127" s="740" t="s">
        <v>33</v>
      </c>
      <c r="N127" s="741">
        <v>4615860</v>
      </c>
    </row>
    <row r="128" spans="1:18" ht="24.95" customHeight="1">
      <c r="A128" s="887"/>
      <c r="B128" s="887"/>
      <c r="C128" s="890"/>
      <c r="D128" s="891"/>
      <c r="E128" s="887"/>
      <c r="F128" s="890"/>
      <c r="G128" s="891"/>
      <c r="H128" s="737" t="s">
        <v>524</v>
      </c>
      <c r="I128" s="706">
        <v>64499400</v>
      </c>
      <c r="J128" s="738">
        <v>12</v>
      </c>
      <c r="K128" s="705" t="s">
        <v>462</v>
      </c>
      <c r="L128" s="739">
        <v>8.3299999999999999E-2</v>
      </c>
      <c r="M128" s="740" t="s">
        <v>33</v>
      </c>
      <c r="N128" s="741">
        <v>5374990</v>
      </c>
    </row>
    <row r="129" spans="1:14" ht="24.95" customHeight="1">
      <c r="A129" s="887"/>
      <c r="B129" s="887"/>
      <c r="C129" s="890"/>
      <c r="D129" s="891"/>
      <c r="E129" s="887"/>
      <c r="F129" s="890"/>
      <c r="G129" s="891"/>
      <c r="H129" s="737" t="s">
        <v>524</v>
      </c>
      <c r="I129" s="706">
        <v>62106720</v>
      </c>
      <c r="J129" s="738">
        <v>12</v>
      </c>
      <c r="K129" s="705" t="s">
        <v>462</v>
      </c>
      <c r="L129" s="739">
        <v>8.3299999999999999E-2</v>
      </c>
      <c r="M129" s="740" t="s">
        <v>33</v>
      </c>
      <c r="N129" s="741">
        <v>5175550</v>
      </c>
    </row>
    <row r="130" spans="1:14" ht="24.95" customHeight="1">
      <c r="A130" s="887"/>
      <c r="B130" s="887"/>
      <c r="C130" s="890"/>
      <c r="D130" s="891"/>
      <c r="E130" s="887"/>
      <c r="F130" s="890"/>
      <c r="G130" s="891"/>
      <c r="H130" s="737" t="s">
        <v>524</v>
      </c>
      <c r="I130" s="706">
        <v>63022010</v>
      </c>
      <c r="J130" s="738">
        <v>12</v>
      </c>
      <c r="K130" s="705" t="s">
        <v>462</v>
      </c>
      <c r="L130" s="739">
        <v>8.3299999999999999E-2</v>
      </c>
      <c r="M130" s="740" t="s">
        <v>33</v>
      </c>
      <c r="N130" s="741">
        <v>5251800</v>
      </c>
    </row>
    <row r="131" spans="1:14" ht="24.95" customHeight="1">
      <c r="A131" s="887"/>
      <c r="B131" s="887"/>
      <c r="C131" s="890"/>
      <c r="D131" s="891"/>
      <c r="E131" s="887"/>
      <c r="F131" s="890"/>
      <c r="G131" s="891"/>
      <c r="H131" s="737" t="s">
        <v>530</v>
      </c>
      <c r="I131" s="706">
        <v>48656280</v>
      </c>
      <c r="J131" s="738">
        <v>12</v>
      </c>
      <c r="K131" s="705" t="s">
        <v>462</v>
      </c>
      <c r="L131" s="739">
        <v>8.3299999999999999E-2</v>
      </c>
      <c r="M131" s="740" t="s">
        <v>33</v>
      </c>
      <c r="N131" s="741">
        <v>4054240</v>
      </c>
    </row>
    <row r="132" spans="1:14" ht="24.95" customHeight="1">
      <c r="A132" s="887"/>
      <c r="B132" s="887"/>
      <c r="C132" s="890"/>
      <c r="D132" s="891"/>
      <c r="E132" s="887"/>
      <c r="F132" s="890"/>
      <c r="G132" s="891"/>
      <c r="H132" s="737" t="s">
        <v>530</v>
      </c>
      <c r="I132" s="706">
        <v>46540680</v>
      </c>
      <c r="J132" s="738">
        <v>12</v>
      </c>
      <c r="K132" s="705" t="s">
        <v>462</v>
      </c>
      <c r="L132" s="739">
        <v>8.3299999999999999E-2</v>
      </c>
      <c r="M132" s="740" t="s">
        <v>33</v>
      </c>
      <c r="N132" s="741">
        <v>3878410</v>
      </c>
    </row>
    <row r="133" spans="1:14" ht="24.95" customHeight="1">
      <c r="A133" s="887"/>
      <c r="B133" s="887"/>
      <c r="C133" s="890"/>
      <c r="D133" s="891"/>
      <c r="E133" s="887"/>
      <c r="F133" s="890"/>
      <c r="G133" s="891"/>
      <c r="H133" s="737" t="s">
        <v>530</v>
      </c>
      <c r="I133" s="706">
        <v>47041020</v>
      </c>
      <c r="J133" s="738">
        <v>12</v>
      </c>
      <c r="K133" s="705" t="s">
        <v>462</v>
      </c>
      <c r="L133" s="739">
        <v>8.3299999999999999E-2</v>
      </c>
      <c r="M133" s="740" t="s">
        <v>33</v>
      </c>
      <c r="N133" s="741">
        <v>3920120</v>
      </c>
    </row>
    <row r="134" spans="1:14" ht="24.95" customHeight="1">
      <c r="A134" s="887"/>
      <c r="B134" s="887"/>
      <c r="C134" s="890"/>
      <c r="D134" s="891"/>
      <c r="E134" s="887"/>
      <c r="F134" s="890"/>
      <c r="G134" s="891"/>
      <c r="H134" s="737" t="s">
        <v>530</v>
      </c>
      <c r="I134" s="706">
        <v>41317690</v>
      </c>
      <c r="J134" s="738">
        <v>12</v>
      </c>
      <c r="K134" s="705" t="s">
        <v>462</v>
      </c>
      <c r="L134" s="739">
        <v>8.3299999999999999E-2</v>
      </c>
      <c r="M134" s="740" t="s">
        <v>33</v>
      </c>
      <c r="N134" s="741">
        <v>3443180</v>
      </c>
    </row>
    <row r="135" spans="1:14" ht="24.95" customHeight="1">
      <c r="A135" s="887"/>
      <c r="B135" s="887"/>
      <c r="C135" s="890"/>
      <c r="D135" s="891"/>
      <c r="E135" s="887"/>
      <c r="F135" s="890"/>
      <c r="G135" s="891"/>
      <c r="H135" s="737" t="s">
        <v>540</v>
      </c>
      <c r="I135" s="706">
        <v>37844960</v>
      </c>
      <c r="J135" s="738">
        <v>12</v>
      </c>
      <c r="K135" s="705" t="s">
        <v>462</v>
      </c>
      <c r="L135" s="739">
        <v>8.3299999999999999E-2</v>
      </c>
      <c r="M135" s="740" t="s">
        <v>33</v>
      </c>
      <c r="N135" s="741">
        <v>3153760</v>
      </c>
    </row>
    <row r="136" spans="1:14" ht="24.95" customHeight="1">
      <c r="A136" s="887"/>
      <c r="B136" s="887"/>
      <c r="C136" s="890"/>
      <c r="D136" s="891"/>
      <c r="E136" s="887"/>
      <c r="F136" s="890"/>
      <c r="G136" s="891"/>
      <c r="H136" s="737" t="s">
        <v>533</v>
      </c>
      <c r="I136" s="706">
        <v>48936000</v>
      </c>
      <c r="J136" s="738">
        <v>12</v>
      </c>
      <c r="K136" s="705" t="s">
        <v>462</v>
      </c>
      <c r="L136" s="739">
        <v>8.3299999999999999E-2</v>
      </c>
      <c r="M136" s="740" t="s">
        <v>33</v>
      </c>
      <c r="N136" s="741">
        <v>4078060</v>
      </c>
    </row>
    <row r="137" spans="1:14" ht="24.95" customHeight="1">
      <c r="A137" s="887"/>
      <c r="B137" s="887"/>
      <c r="C137" s="890"/>
      <c r="D137" s="891"/>
      <c r="E137" s="887"/>
      <c r="F137" s="890"/>
      <c r="G137" s="891"/>
      <c r="H137" s="742" t="s">
        <v>535</v>
      </c>
      <c r="I137" s="706">
        <v>45608200</v>
      </c>
      <c r="J137" s="738">
        <v>12</v>
      </c>
      <c r="K137" s="705" t="s">
        <v>462</v>
      </c>
      <c r="L137" s="739">
        <v>8.3299999999999999E-2</v>
      </c>
      <c r="M137" s="740" t="s">
        <v>33</v>
      </c>
      <c r="N137" s="741">
        <v>3800690</v>
      </c>
    </row>
    <row r="138" spans="1:14" ht="24.75" customHeight="1">
      <c r="A138" s="887"/>
      <c r="B138" s="887"/>
      <c r="C138" s="890"/>
      <c r="D138" s="891"/>
      <c r="E138" s="887"/>
      <c r="F138" s="890"/>
      <c r="G138" s="891"/>
      <c r="H138" s="737" t="s">
        <v>537</v>
      </c>
      <c r="I138" s="706">
        <v>37469080</v>
      </c>
      <c r="J138" s="738">
        <v>12</v>
      </c>
      <c r="K138" s="705" t="s">
        <v>462</v>
      </c>
      <c r="L138" s="739">
        <v>8.3299999999999999E-2</v>
      </c>
      <c r="M138" s="740" t="s">
        <v>33</v>
      </c>
      <c r="N138" s="741">
        <v>3122470</v>
      </c>
    </row>
    <row r="139" spans="1:14" ht="24.95" customHeight="1">
      <c r="A139" s="887"/>
      <c r="B139" s="887"/>
      <c r="C139" s="890"/>
      <c r="D139" s="891"/>
      <c r="E139" s="887"/>
      <c r="F139" s="890"/>
      <c r="G139" s="891"/>
      <c r="H139" s="737" t="s">
        <v>537</v>
      </c>
      <c r="I139" s="706">
        <v>37363440</v>
      </c>
      <c r="J139" s="738">
        <v>12</v>
      </c>
      <c r="K139" s="705" t="s">
        <v>462</v>
      </c>
      <c r="L139" s="739">
        <v>8.3299999999999999E-2</v>
      </c>
      <c r="M139" s="740" t="s">
        <v>33</v>
      </c>
      <c r="N139" s="741">
        <v>3113660</v>
      </c>
    </row>
    <row r="140" spans="1:14" ht="24.95" customHeight="1" thickBot="1">
      <c r="A140" s="887"/>
      <c r="B140" s="887"/>
      <c r="C140" s="890"/>
      <c r="D140" s="891"/>
      <c r="E140" s="893"/>
      <c r="F140" s="890"/>
      <c r="G140" s="891"/>
      <c r="H140" s="743" t="s">
        <v>539</v>
      </c>
      <c r="I140" s="666">
        <v>39083280</v>
      </c>
      <c r="J140" s="738">
        <v>12</v>
      </c>
      <c r="K140" s="705" t="s">
        <v>462</v>
      </c>
      <c r="L140" s="744">
        <v>8.3299999999999999E-2</v>
      </c>
      <c r="M140" s="745" t="s">
        <v>33</v>
      </c>
      <c r="N140" s="741">
        <v>3257000</v>
      </c>
    </row>
    <row r="141" spans="1:14" ht="15" customHeight="1" thickBot="1">
      <c r="A141" s="887"/>
      <c r="B141" s="887"/>
      <c r="C141" s="890"/>
      <c r="D141" s="885">
        <v>77401600</v>
      </c>
      <c r="E141" s="577">
        <f>N141</f>
        <v>80137680</v>
      </c>
      <c r="F141" s="577">
        <f>N141</f>
        <v>80137680</v>
      </c>
      <c r="G141" s="577">
        <f t="shared" ref="G141" si="20">E141-D141</f>
        <v>2736080</v>
      </c>
      <c r="H141" s="636" t="s">
        <v>25</v>
      </c>
      <c r="I141" s="783"/>
      <c r="J141" s="638"/>
      <c r="K141" s="638"/>
      <c r="L141" s="638"/>
      <c r="M141" s="939"/>
      <c r="N141" s="780">
        <f>SUM(N142:N146)</f>
        <v>80137680</v>
      </c>
    </row>
    <row r="142" spans="1:14" ht="24.6" customHeight="1">
      <c r="A142" s="887"/>
      <c r="B142" s="887"/>
      <c r="C142" s="890"/>
      <c r="D142" s="891"/>
      <c r="E142" s="892"/>
      <c r="F142" s="892"/>
      <c r="G142" s="887"/>
      <c r="H142" s="747" t="s">
        <v>109</v>
      </c>
      <c r="I142" s="787">
        <v>729973660</v>
      </c>
      <c r="J142" s="748">
        <v>12</v>
      </c>
      <c r="K142" s="749" t="s">
        <v>462</v>
      </c>
      <c r="L142" s="750">
        <v>4.4999999999999998E-2</v>
      </c>
      <c r="M142" s="751" t="s">
        <v>33</v>
      </c>
      <c r="N142" s="752">
        <v>32918230</v>
      </c>
    </row>
    <row r="143" spans="1:14" ht="24" customHeight="1">
      <c r="A143" s="887"/>
      <c r="B143" s="887"/>
      <c r="C143" s="890"/>
      <c r="D143" s="891"/>
      <c r="E143" s="887"/>
      <c r="F143" s="887"/>
      <c r="G143" s="887"/>
      <c r="H143" s="617" t="s">
        <v>522</v>
      </c>
      <c r="I143" s="1073">
        <v>729973660</v>
      </c>
      <c r="J143" s="753">
        <v>12</v>
      </c>
      <c r="K143" s="754" t="s">
        <v>462</v>
      </c>
      <c r="L143" s="977">
        <v>3.5450000000000002E-2</v>
      </c>
      <c r="M143" s="702" t="s">
        <v>33</v>
      </c>
      <c r="N143" s="686">
        <v>25876580</v>
      </c>
    </row>
    <row r="144" spans="1:14" ht="24" customHeight="1">
      <c r="A144" s="887"/>
      <c r="B144" s="887"/>
      <c r="C144" s="890"/>
      <c r="D144" s="891"/>
      <c r="E144" s="887"/>
      <c r="F144" s="887"/>
      <c r="G144" s="887"/>
      <c r="H144" s="629" t="s">
        <v>458</v>
      </c>
      <c r="I144" s="1073">
        <v>25876580</v>
      </c>
      <c r="J144" s="753">
        <v>12</v>
      </c>
      <c r="K144" s="754" t="s">
        <v>462</v>
      </c>
      <c r="L144" s="755">
        <v>0.12809999999999999</v>
      </c>
      <c r="M144" s="702" t="s">
        <v>33</v>
      </c>
      <c r="N144" s="686">
        <v>3314070</v>
      </c>
    </row>
    <row r="145" spans="1:14" ht="24" customHeight="1">
      <c r="A145" s="887"/>
      <c r="B145" s="887"/>
      <c r="C145" s="890"/>
      <c r="D145" s="891"/>
      <c r="E145" s="887"/>
      <c r="F145" s="887"/>
      <c r="G145" s="887"/>
      <c r="H145" s="972" t="s">
        <v>111</v>
      </c>
      <c r="I145" s="1074">
        <v>729973660</v>
      </c>
      <c r="J145" s="978">
        <v>12</v>
      </c>
      <c r="K145" s="979" t="s">
        <v>462</v>
      </c>
      <c r="L145" s="980">
        <v>1.7500000000000002E-2</v>
      </c>
      <c r="M145" s="698" t="s">
        <v>33</v>
      </c>
      <c r="N145" s="686">
        <v>12773740</v>
      </c>
    </row>
    <row r="146" spans="1:14" ht="24.6" customHeight="1" thickBot="1">
      <c r="A146" s="887"/>
      <c r="B146" s="887"/>
      <c r="C146" s="887"/>
      <c r="D146" s="894"/>
      <c r="E146" s="893"/>
      <c r="F146" s="893"/>
      <c r="G146" s="887"/>
      <c r="H146" s="630" t="s">
        <v>112</v>
      </c>
      <c r="I146" s="1075">
        <v>729973660</v>
      </c>
      <c r="J146" s="757">
        <v>12</v>
      </c>
      <c r="K146" s="758" t="s">
        <v>462</v>
      </c>
      <c r="L146" s="759">
        <v>7.1999999999999998E-3</v>
      </c>
      <c r="M146" s="694" t="s">
        <v>33</v>
      </c>
      <c r="N146" s="686">
        <v>5255060</v>
      </c>
    </row>
    <row r="147" spans="1:14" ht="15" thickBot="1">
      <c r="A147" s="887"/>
      <c r="B147" s="887"/>
      <c r="C147" s="577" t="s">
        <v>188</v>
      </c>
      <c r="D147" s="885">
        <v>65116800</v>
      </c>
      <c r="E147" s="577">
        <f>N147</f>
        <v>70155900</v>
      </c>
      <c r="F147" s="577">
        <f>N147</f>
        <v>70155900</v>
      </c>
      <c r="G147" s="577">
        <f t="shared" ref="G147" si="21">E147-D147</f>
        <v>5039100</v>
      </c>
      <c r="H147" s="591" t="s">
        <v>188</v>
      </c>
      <c r="I147" s="594"/>
      <c r="J147" s="593"/>
      <c r="K147" s="593"/>
      <c r="L147" s="593"/>
      <c r="M147" s="797"/>
      <c r="N147" s="596">
        <f>SUM(N148:N151)</f>
        <v>70155900</v>
      </c>
    </row>
    <row r="148" spans="1:14" ht="48.75" customHeight="1">
      <c r="A148" s="887"/>
      <c r="B148" s="887"/>
      <c r="C148" s="887"/>
      <c r="D148" s="894"/>
      <c r="E148" s="892"/>
      <c r="F148" s="887"/>
      <c r="G148" s="891"/>
      <c r="H148" s="784" t="s">
        <v>496</v>
      </c>
      <c r="I148" s="670">
        <v>17084700</v>
      </c>
      <c r="J148" s="940" t="s">
        <v>507</v>
      </c>
      <c r="K148" s="670" t="s">
        <v>504</v>
      </c>
      <c r="L148" s="670" t="s">
        <v>713</v>
      </c>
      <c r="M148" s="740" t="s">
        <v>33</v>
      </c>
      <c r="N148" s="673">
        <f>I148</f>
        <v>17084700</v>
      </c>
    </row>
    <row r="149" spans="1:14" ht="48.75" customHeight="1">
      <c r="A149" s="887"/>
      <c r="B149" s="887"/>
      <c r="C149" s="887"/>
      <c r="D149" s="894"/>
      <c r="E149" s="887"/>
      <c r="F149" s="887"/>
      <c r="G149" s="891"/>
      <c r="H149" s="737" t="s">
        <v>497</v>
      </c>
      <c r="I149" s="706">
        <v>18127200</v>
      </c>
      <c r="J149" s="941" t="s">
        <v>506</v>
      </c>
      <c r="K149" s="706" t="s">
        <v>504</v>
      </c>
      <c r="L149" s="706" t="s">
        <v>714</v>
      </c>
      <c r="M149" s="740" t="s">
        <v>33</v>
      </c>
      <c r="N149" s="788">
        <f>I149</f>
        <v>18127200</v>
      </c>
    </row>
    <row r="150" spans="1:14" ht="48.75" customHeight="1">
      <c r="A150" s="887"/>
      <c r="B150" s="887"/>
      <c r="C150" s="887"/>
      <c r="D150" s="894"/>
      <c r="E150" s="887"/>
      <c r="F150" s="887"/>
      <c r="G150" s="891"/>
      <c r="H150" s="737" t="s">
        <v>498</v>
      </c>
      <c r="I150" s="706">
        <v>17472000</v>
      </c>
      <c r="J150" s="941" t="s">
        <v>508</v>
      </c>
      <c r="K150" s="706" t="s">
        <v>504</v>
      </c>
      <c r="L150" s="706" t="s">
        <v>645</v>
      </c>
      <c r="M150" s="740" t="s">
        <v>33</v>
      </c>
      <c r="N150" s="788">
        <f>I150</f>
        <v>17472000</v>
      </c>
    </row>
    <row r="151" spans="1:14" ht="48.75" customHeight="1" thickBot="1">
      <c r="A151" s="887"/>
      <c r="B151" s="887"/>
      <c r="C151" s="887"/>
      <c r="D151" s="894"/>
      <c r="E151" s="893"/>
      <c r="F151" s="893"/>
      <c r="G151" s="891"/>
      <c r="H151" s="743" t="s">
        <v>499</v>
      </c>
      <c r="I151" s="706">
        <v>17472000</v>
      </c>
      <c r="J151" s="941" t="s">
        <v>505</v>
      </c>
      <c r="K151" s="666" t="s">
        <v>504</v>
      </c>
      <c r="L151" s="666" t="s">
        <v>645</v>
      </c>
      <c r="M151" s="740" t="s">
        <v>33</v>
      </c>
      <c r="N151" s="788">
        <f>I151</f>
        <v>17472000</v>
      </c>
    </row>
    <row r="152" spans="1:14" ht="15" thickBot="1">
      <c r="A152" s="887"/>
      <c r="B152" s="887"/>
      <c r="C152" s="577" t="s">
        <v>113</v>
      </c>
      <c r="D152" s="885">
        <v>295520000</v>
      </c>
      <c r="E152" s="885">
        <f>N152</f>
        <v>329832000</v>
      </c>
      <c r="F152" s="577">
        <f>N152</f>
        <v>329832000</v>
      </c>
      <c r="G152" s="892">
        <f t="shared" ref="G152" si="22">E152-D152</f>
        <v>34312000</v>
      </c>
      <c r="H152" s="591" t="s">
        <v>113</v>
      </c>
      <c r="I152" s="594"/>
      <c r="J152" s="593"/>
      <c r="K152" s="593"/>
      <c r="L152" s="593"/>
      <c r="M152" s="797"/>
      <c r="N152" s="596">
        <f>SUM(N153:N160)</f>
        <v>329832000</v>
      </c>
    </row>
    <row r="153" spans="1:14" ht="24" customHeight="1">
      <c r="A153" s="887"/>
      <c r="B153" s="887"/>
      <c r="C153" s="887"/>
      <c r="D153" s="894"/>
      <c r="E153" s="887"/>
      <c r="F153" s="891"/>
      <c r="G153" s="892"/>
      <c r="H153" s="784" t="s">
        <v>500</v>
      </c>
      <c r="I153" s="670">
        <v>78228000</v>
      </c>
      <c r="J153" s="940" t="s">
        <v>507</v>
      </c>
      <c r="K153" s="670" t="s">
        <v>504</v>
      </c>
      <c r="L153" s="670" t="s">
        <v>644</v>
      </c>
      <c r="M153" s="981" t="s">
        <v>33</v>
      </c>
      <c r="N153" s="942">
        <f>I153</f>
        <v>78228000</v>
      </c>
    </row>
    <row r="154" spans="1:14" ht="24" customHeight="1">
      <c r="A154" s="887"/>
      <c r="B154" s="887"/>
      <c r="C154" s="887"/>
      <c r="D154" s="894"/>
      <c r="E154" s="887"/>
      <c r="F154" s="891"/>
      <c r="G154" s="887"/>
      <c r="H154" s="737" t="s">
        <v>501</v>
      </c>
      <c r="I154" s="706">
        <v>71748000</v>
      </c>
      <c r="J154" s="941" t="s">
        <v>506</v>
      </c>
      <c r="K154" s="706" t="s">
        <v>504</v>
      </c>
      <c r="L154" s="706" t="s">
        <v>644</v>
      </c>
      <c r="M154" s="982" t="s">
        <v>448</v>
      </c>
      <c r="N154" s="943">
        <f>I154</f>
        <v>71748000</v>
      </c>
    </row>
    <row r="155" spans="1:14" ht="24" customHeight="1">
      <c r="A155" s="887"/>
      <c r="B155" s="887"/>
      <c r="C155" s="887"/>
      <c r="D155" s="894"/>
      <c r="E155" s="887"/>
      <c r="F155" s="891"/>
      <c r="G155" s="887"/>
      <c r="H155" s="737" t="s">
        <v>502</v>
      </c>
      <c r="I155" s="706">
        <v>76320000</v>
      </c>
      <c r="J155" s="941" t="s">
        <v>508</v>
      </c>
      <c r="K155" s="706" t="s">
        <v>504</v>
      </c>
      <c r="L155" s="706" t="s">
        <v>644</v>
      </c>
      <c r="M155" s="982" t="s">
        <v>448</v>
      </c>
      <c r="N155" s="943">
        <f t="shared" ref="N155:N160" si="23">I155</f>
        <v>76320000</v>
      </c>
    </row>
    <row r="156" spans="1:14" ht="24" customHeight="1">
      <c r="A156" s="887"/>
      <c r="B156" s="887"/>
      <c r="C156" s="887"/>
      <c r="D156" s="894"/>
      <c r="E156" s="887"/>
      <c r="F156" s="891"/>
      <c r="G156" s="887"/>
      <c r="H156" s="944" t="s">
        <v>503</v>
      </c>
      <c r="I156" s="614">
        <v>76680000</v>
      </c>
      <c r="J156" s="945" t="s">
        <v>505</v>
      </c>
      <c r="K156" s="614" t="s">
        <v>504</v>
      </c>
      <c r="L156" s="614" t="s">
        <v>644</v>
      </c>
      <c r="M156" s="983" t="s">
        <v>448</v>
      </c>
      <c r="N156" s="946">
        <f t="shared" si="23"/>
        <v>76680000</v>
      </c>
    </row>
    <row r="157" spans="1:14" ht="24" customHeight="1">
      <c r="A157" s="887"/>
      <c r="B157" s="887"/>
      <c r="C157" s="887"/>
      <c r="D157" s="894"/>
      <c r="E157" s="887"/>
      <c r="F157" s="891"/>
      <c r="G157" s="887"/>
      <c r="H157" s="734" t="s">
        <v>509</v>
      </c>
      <c r="I157" s="600">
        <v>6420600</v>
      </c>
      <c r="J157" s="947" t="s">
        <v>507</v>
      </c>
      <c r="K157" s="600" t="s">
        <v>504</v>
      </c>
      <c r="L157" s="706" t="s">
        <v>644</v>
      </c>
      <c r="M157" s="984" t="s">
        <v>448</v>
      </c>
      <c r="N157" s="948">
        <f t="shared" si="23"/>
        <v>6420600</v>
      </c>
    </row>
    <row r="158" spans="1:14" ht="24" customHeight="1">
      <c r="A158" s="887"/>
      <c r="B158" s="887"/>
      <c r="C158" s="887"/>
      <c r="D158" s="894"/>
      <c r="E158" s="887"/>
      <c r="F158" s="891"/>
      <c r="G158" s="887"/>
      <c r="H158" s="737" t="s">
        <v>510</v>
      </c>
      <c r="I158" s="706">
        <v>6719400</v>
      </c>
      <c r="J158" s="941" t="s">
        <v>506</v>
      </c>
      <c r="K158" s="706" t="s">
        <v>504</v>
      </c>
      <c r="L158" s="706" t="s">
        <v>644</v>
      </c>
      <c r="M158" s="982" t="s">
        <v>448</v>
      </c>
      <c r="N158" s="943">
        <f t="shared" si="23"/>
        <v>6719400</v>
      </c>
    </row>
    <row r="159" spans="1:14" ht="24" customHeight="1">
      <c r="A159" s="887"/>
      <c r="B159" s="887"/>
      <c r="C159" s="887"/>
      <c r="D159" s="894"/>
      <c r="E159" s="887"/>
      <c r="F159" s="891"/>
      <c r="G159" s="887"/>
      <c r="H159" s="737" t="s">
        <v>511</v>
      </c>
      <c r="I159" s="706">
        <v>6912000</v>
      </c>
      <c r="J159" s="941" t="s">
        <v>508</v>
      </c>
      <c r="K159" s="706" t="s">
        <v>504</v>
      </c>
      <c r="L159" s="706" t="s">
        <v>644</v>
      </c>
      <c r="M159" s="982" t="s">
        <v>448</v>
      </c>
      <c r="N159" s="943">
        <f t="shared" si="23"/>
        <v>6912000</v>
      </c>
    </row>
    <row r="160" spans="1:14" ht="24" customHeight="1" thickBot="1">
      <c r="A160" s="887"/>
      <c r="B160" s="887"/>
      <c r="C160" s="887"/>
      <c r="D160" s="894"/>
      <c r="E160" s="887"/>
      <c r="F160" s="891"/>
      <c r="G160" s="893"/>
      <c r="H160" s="743" t="s">
        <v>512</v>
      </c>
      <c r="I160" s="666">
        <v>6804000</v>
      </c>
      <c r="J160" s="949" t="s">
        <v>505</v>
      </c>
      <c r="K160" s="666" t="s">
        <v>504</v>
      </c>
      <c r="L160" s="666" t="s">
        <v>644</v>
      </c>
      <c r="M160" s="985" t="s">
        <v>448</v>
      </c>
      <c r="N160" s="943">
        <f t="shared" si="23"/>
        <v>6804000</v>
      </c>
    </row>
    <row r="161" spans="1:14" ht="14.25" hidden="1" customHeight="1" thickBot="1">
      <c r="A161" s="887"/>
      <c r="B161" s="887"/>
      <c r="C161" s="577"/>
      <c r="D161" s="885"/>
      <c r="E161" s="893"/>
      <c r="F161" s="577"/>
      <c r="G161" s="595">
        <f>E161-F161</f>
        <v>0</v>
      </c>
      <c r="H161" s="950"/>
      <c r="I161" s="778"/>
      <c r="J161" s="939"/>
      <c r="K161" s="939"/>
      <c r="L161" s="939"/>
      <c r="M161" s="951"/>
      <c r="N161" s="596"/>
    </row>
    <row r="162" spans="1:14" ht="23.25" hidden="1" customHeight="1" thickBot="1">
      <c r="A162" s="887"/>
      <c r="B162" s="887"/>
      <c r="C162" s="887"/>
      <c r="D162" s="894"/>
      <c r="E162" s="887"/>
      <c r="F162" s="887"/>
      <c r="G162" s="891">
        <f>E162-F162</f>
        <v>0</v>
      </c>
      <c r="H162" s="952"/>
      <c r="I162" s="778"/>
      <c r="J162" s="811"/>
      <c r="K162" s="811"/>
      <c r="L162" s="811"/>
      <c r="M162" s="953"/>
      <c r="N162" s="716"/>
    </row>
    <row r="163" spans="1:14" ht="15" thickBot="1">
      <c r="A163" s="887"/>
      <c r="B163" s="887"/>
      <c r="C163" s="577" t="s">
        <v>232</v>
      </c>
      <c r="D163" s="885">
        <v>84437000</v>
      </c>
      <c r="E163" s="885">
        <f>N163</f>
        <v>43990000</v>
      </c>
      <c r="F163" s="577">
        <f>N163</f>
        <v>43990000</v>
      </c>
      <c r="G163" s="577">
        <f t="shared" ref="G163" si="24">E163-D163</f>
        <v>-40447000</v>
      </c>
      <c r="H163" s="591" t="s">
        <v>114</v>
      </c>
      <c r="I163" s="576"/>
      <c r="J163" s="593"/>
      <c r="K163" s="593"/>
      <c r="L163" s="593"/>
      <c r="M163" s="797"/>
      <c r="N163" s="596">
        <f>SUM(N164:N170)</f>
        <v>43990000</v>
      </c>
    </row>
    <row r="164" spans="1:14" ht="15" thickBot="1">
      <c r="A164" s="887"/>
      <c r="B164" s="887"/>
      <c r="C164" s="887"/>
      <c r="D164" s="894"/>
      <c r="E164" s="892"/>
      <c r="F164" s="892"/>
      <c r="G164" s="891"/>
      <c r="H164" s="987" t="s">
        <v>197</v>
      </c>
      <c r="I164" s="1076"/>
      <c r="J164" s="940"/>
      <c r="K164" s="670"/>
      <c r="L164" s="670"/>
      <c r="M164" s="1256" t="s">
        <v>448</v>
      </c>
      <c r="N164" s="942"/>
    </row>
    <row r="165" spans="1:14" ht="15" thickBot="1">
      <c r="A165" s="887"/>
      <c r="B165" s="887"/>
      <c r="C165" s="887"/>
      <c r="D165" s="894"/>
      <c r="E165" s="887"/>
      <c r="F165" s="901"/>
      <c r="G165" s="891"/>
      <c r="H165" s="680" t="s">
        <v>640</v>
      </c>
      <c r="I165" s="626">
        <v>19350000</v>
      </c>
      <c r="J165" s="1011">
        <v>1</v>
      </c>
      <c r="K165" s="626" t="s">
        <v>453</v>
      </c>
      <c r="L165" s="626"/>
      <c r="M165" s="1260"/>
      <c r="N165" s="943">
        <f>I165*J165</f>
        <v>19350000</v>
      </c>
    </row>
    <row r="166" spans="1:14" ht="15" thickBot="1">
      <c r="A166" s="887"/>
      <c r="B166" s="887"/>
      <c r="C166" s="887"/>
      <c r="D166" s="894"/>
      <c r="E166" s="887"/>
      <c r="F166" s="901"/>
      <c r="G166" s="891"/>
      <c r="H166" s="972" t="s">
        <v>641</v>
      </c>
      <c r="I166" s="614">
        <v>5340000</v>
      </c>
      <c r="J166" s="945">
        <v>1</v>
      </c>
      <c r="K166" s="614" t="s">
        <v>453</v>
      </c>
      <c r="L166" s="614"/>
      <c r="M166" s="1257"/>
      <c r="N166" s="946">
        <f>I166*J166</f>
        <v>5340000</v>
      </c>
    </row>
    <row r="167" spans="1:14" ht="15" hidden="1" thickBot="1">
      <c r="A167" s="887"/>
      <c r="B167" s="887"/>
      <c r="C167" s="887"/>
      <c r="D167" s="894"/>
      <c r="E167" s="887"/>
      <c r="F167" s="901"/>
      <c r="G167" s="891"/>
      <c r="H167" s="798" t="s">
        <v>594</v>
      </c>
      <c r="I167" s="1070">
        <v>0</v>
      </c>
      <c r="J167" s="947"/>
      <c r="K167" s="600"/>
      <c r="L167" s="600"/>
      <c r="M167" s="1260" t="s">
        <v>448</v>
      </c>
      <c r="N167" s="948"/>
    </row>
    <row r="168" spans="1:14" ht="15" hidden="1" thickBot="1">
      <c r="A168" s="887"/>
      <c r="B168" s="887"/>
      <c r="C168" s="887"/>
      <c r="D168" s="894"/>
      <c r="E168" s="887"/>
      <c r="F168" s="901"/>
      <c r="G168" s="891"/>
      <c r="H168" s="611"/>
      <c r="I168" s="614">
        <v>0</v>
      </c>
      <c r="J168" s="945">
        <v>1</v>
      </c>
      <c r="K168" s="614" t="s">
        <v>577</v>
      </c>
      <c r="L168" s="614"/>
      <c r="M168" s="1260"/>
      <c r="N168" s="943">
        <f>I168</f>
        <v>0</v>
      </c>
    </row>
    <row r="169" spans="1:14" ht="15" thickBot="1">
      <c r="A169" s="887"/>
      <c r="B169" s="887"/>
      <c r="C169" s="887"/>
      <c r="D169" s="894"/>
      <c r="E169" s="887"/>
      <c r="F169" s="901"/>
      <c r="G169" s="891"/>
      <c r="H169" s="798" t="s">
        <v>199</v>
      </c>
      <c r="I169" s="706"/>
      <c r="J169" s="1011">
        <v>1</v>
      </c>
      <c r="K169" s="600" t="s">
        <v>577</v>
      </c>
      <c r="L169" s="600"/>
      <c r="M169" s="1260" t="s">
        <v>33</v>
      </c>
      <c r="N169" s="1054"/>
    </row>
    <row r="170" spans="1:14" ht="15" thickBot="1">
      <c r="A170" s="887"/>
      <c r="B170" s="887"/>
      <c r="C170" s="887"/>
      <c r="D170" s="894"/>
      <c r="E170" s="887"/>
      <c r="F170" s="901"/>
      <c r="G170" s="891"/>
      <c r="H170" s="771" t="s">
        <v>642</v>
      </c>
      <c r="I170" s="706">
        <v>19300000</v>
      </c>
      <c r="J170" s="941">
        <v>1</v>
      </c>
      <c r="K170" s="706" t="s">
        <v>577</v>
      </c>
      <c r="L170" s="706"/>
      <c r="M170" s="1260"/>
      <c r="N170" s="943">
        <f>I170*J170</f>
        <v>19300000</v>
      </c>
    </row>
    <row r="171" spans="1:14" ht="15" thickBot="1">
      <c r="A171" s="887"/>
      <c r="B171" s="887"/>
      <c r="C171" s="577" t="s">
        <v>116</v>
      </c>
      <c r="D171" s="885">
        <v>770721480</v>
      </c>
      <c r="E171" s="885">
        <f>N171</f>
        <v>770057680</v>
      </c>
      <c r="F171" s="885">
        <f>N171</f>
        <v>770057680</v>
      </c>
      <c r="G171" s="577">
        <f t="shared" ref="G171" si="25">E171-D171</f>
        <v>-663800</v>
      </c>
      <c r="H171" s="591"/>
      <c r="I171" s="576"/>
      <c r="J171" s="575"/>
      <c r="K171" s="575"/>
      <c r="L171" s="575"/>
      <c r="M171" s="575"/>
      <c r="N171" s="780">
        <f>N172+N174+N176</f>
        <v>770057680</v>
      </c>
    </row>
    <row r="172" spans="1:14" ht="15" thickBot="1">
      <c r="A172" s="887"/>
      <c r="B172" s="887"/>
      <c r="C172" s="887"/>
      <c r="D172" s="905">
        <v>224389390</v>
      </c>
      <c r="E172" s="897">
        <f>I172</f>
        <v>224389390</v>
      </c>
      <c r="F172" s="897"/>
      <c r="G172" s="897">
        <f>E172-D172</f>
        <v>0</v>
      </c>
      <c r="H172" s="792" t="s">
        <v>117</v>
      </c>
      <c r="I172" s="1077">
        <f>SUM(I173:I173)</f>
        <v>224389390</v>
      </c>
      <c r="J172" s="986"/>
      <c r="K172" s="795"/>
      <c r="L172" s="795"/>
      <c r="M172" s="593"/>
      <c r="N172" s="780">
        <f>I172</f>
        <v>224389390</v>
      </c>
    </row>
    <row r="173" spans="1:14" ht="15" thickBot="1">
      <c r="A173" s="887"/>
      <c r="B173" s="887"/>
      <c r="C173" s="890"/>
      <c r="D173" s="905"/>
      <c r="E173" s="703"/>
      <c r="F173" s="703"/>
      <c r="G173" s="703"/>
      <c r="H173" s="597" t="s">
        <v>635</v>
      </c>
      <c r="I173" s="600">
        <v>224389390</v>
      </c>
      <c r="J173" s="947"/>
      <c r="K173" s="600"/>
      <c r="L173" s="600"/>
      <c r="M173" s="1123" t="s">
        <v>33</v>
      </c>
      <c r="N173" s="1016">
        <f>I173</f>
        <v>224389390</v>
      </c>
    </row>
    <row r="174" spans="1:14" ht="15" thickBot="1">
      <c r="A174" s="887"/>
      <c r="B174" s="887"/>
      <c r="C174" s="890"/>
      <c r="D174" s="905">
        <v>529061290</v>
      </c>
      <c r="E174" s="703">
        <f>I174</f>
        <v>529061290</v>
      </c>
      <c r="F174" s="703"/>
      <c r="G174" s="703">
        <f>E174-D174</f>
        <v>0</v>
      </c>
      <c r="H174" s="591" t="s">
        <v>119</v>
      </c>
      <c r="I174" s="1077">
        <f>SUM(I175:I175)</f>
        <v>529061290</v>
      </c>
      <c r="J174" s="593"/>
      <c r="K174" s="593"/>
      <c r="L174" s="593"/>
      <c r="M174" s="954"/>
      <c r="N174" s="596">
        <f>I174</f>
        <v>529061290</v>
      </c>
    </row>
    <row r="175" spans="1:14" ht="15" thickBot="1">
      <c r="A175" s="887"/>
      <c r="B175" s="887"/>
      <c r="C175" s="890"/>
      <c r="D175" s="905"/>
      <c r="E175" s="703"/>
      <c r="F175" s="703"/>
      <c r="G175" s="703"/>
      <c r="H175" s="597" t="s">
        <v>120</v>
      </c>
      <c r="I175" s="600">
        <v>529061290</v>
      </c>
      <c r="J175" s="947"/>
      <c r="K175" s="600"/>
      <c r="L175" s="600"/>
      <c r="M175" s="1123" t="s">
        <v>33</v>
      </c>
      <c r="N175" s="1016">
        <f>I175</f>
        <v>529061290</v>
      </c>
    </row>
    <row r="176" spans="1:14" ht="15" thickBot="1">
      <c r="A176" s="887"/>
      <c r="B176" s="887"/>
      <c r="C176" s="887"/>
      <c r="D176" s="897"/>
      <c r="E176" s="703"/>
      <c r="F176" s="703"/>
      <c r="G176" s="703"/>
      <c r="H176" s="591" t="s">
        <v>121</v>
      </c>
      <c r="I176" s="594"/>
      <c r="J176" s="593"/>
      <c r="K176" s="593"/>
      <c r="L176" s="593"/>
      <c r="M176" s="797"/>
      <c r="N176" s="780">
        <f>SUM(N177:N179,N182)</f>
        <v>16607000</v>
      </c>
    </row>
    <row r="177" spans="1:14" ht="23.25" customHeight="1">
      <c r="A177" s="887"/>
      <c r="B177" s="887"/>
      <c r="C177" s="890"/>
      <c r="D177" s="905">
        <v>8470800</v>
      </c>
      <c r="E177" s="703">
        <f>N177</f>
        <v>9387000</v>
      </c>
      <c r="F177" s="703"/>
      <c r="G177" s="703">
        <f t="shared" ref="G177:G184" si="26">E177-D177</f>
        <v>916200</v>
      </c>
      <c r="H177" s="1058" t="s">
        <v>122</v>
      </c>
      <c r="I177" s="647">
        <v>9387000</v>
      </c>
      <c r="J177" s="1059">
        <v>1</v>
      </c>
      <c r="K177" s="1060" t="s">
        <v>464</v>
      </c>
      <c r="L177" s="1061" t="s">
        <v>578</v>
      </c>
      <c r="M177" s="1062"/>
      <c r="N177" s="1016">
        <f>I177*1</f>
        <v>9387000</v>
      </c>
    </row>
    <row r="178" spans="1:14" ht="18" customHeight="1">
      <c r="A178" s="887"/>
      <c r="B178" s="887"/>
      <c r="C178" s="890"/>
      <c r="D178" s="905">
        <v>2000000</v>
      </c>
      <c r="E178" s="703">
        <f>N178</f>
        <v>2000000</v>
      </c>
      <c r="F178" s="703"/>
      <c r="G178" s="703">
        <f t="shared" si="26"/>
        <v>0</v>
      </c>
      <c r="H178" s="1086" t="s">
        <v>608</v>
      </c>
      <c r="I178" s="652">
        <v>2000000</v>
      </c>
      <c r="J178" s="1087">
        <v>1</v>
      </c>
      <c r="K178" s="1088" t="s">
        <v>464</v>
      </c>
      <c r="L178" s="1093"/>
      <c r="M178" s="1094"/>
      <c r="N178" s="1095">
        <f>I178*1</f>
        <v>2000000</v>
      </c>
    </row>
    <row r="179" spans="1:14" ht="18" customHeight="1">
      <c r="A179" s="887"/>
      <c r="B179" s="887"/>
      <c r="C179" s="890"/>
      <c r="D179" s="905"/>
      <c r="E179" s="703"/>
      <c r="F179" s="703"/>
      <c r="G179" s="703">
        <f t="shared" si="26"/>
        <v>0</v>
      </c>
      <c r="H179" s="990" t="s">
        <v>123</v>
      </c>
      <c r="I179" s="843">
        <f>SUM(I180*J180,I181*J181)</f>
        <v>3600000</v>
      </c>
      <c r="J179" s="1055"/>
      <c r="K179" s="1056" t="s">
        <v>451</v>
      </c>
      <c r="L179" s="1056" t="s">
        <v>643</v>
      </c>
      <c r="M179" s="1057"/>
      <c r="N179" s="948">
        <f>I179</f>
        <v>3600000</v>
      </c>
    </row>
    <row r="180" spans="1:14" ht="18" customHeight="1">
      <c r="A180" s="887"/>
      <c r="B180" s="887"/>
      <c r="C180" s="890"/>
      <c r="D180" s="905">
        <v>3600000</v>
      </c>
      <c r="E180" s="703">
        <f>N180</f>
        <v>3240000</v>
      </c>
      <c r="F180" s="703"/>
      <c r="G180" s="703">
        <f t="shared" si="26"/>
        <v>-360000</v>
      </c>
      <c r="H180" s="1066" t="s">
        <v>611</v>
      </c>
      <c r="I180" s="828">
        <v>270000</v>
      </c>
      <c r="J180" s="1067">
        <v>12</v>
      </c>
      <c r="K180" s="1068" t="s">
        <v>451</v>
      </c>
      <c r="L180" s="1068"/>
      <c r="M180" s="1069"/>
      <c r="N180" s="948">
        <f>I180*J180</f>
        <v>3240000</v>
      </c>
    </row>
    <row r="181" spans="1:14" ht="18" customHeight="1">
      <c r="A181" s="887"/>
      <c r="B181" s="887"/>
      <c r="C181" s="890"/>
      <c r="D181" s="905"/>
      <c r="E181" s="703">
        <f>N181</f>
        <v>360000</v>
      </c>
      <c r="F181" s="703"/>
      <c r="G181" s="703">
        <f t="shared" si="26"/>
        <v>360000</v>
      </c>
      <c r="H181" s="989" t="s">
        <v>612</v>
      </c>
      <c r="I181" s="817">
        <v>30000</v>
      </c>
      <c r="J181" s="1063">
        <v>12</v>
      </c>
      <c r="K181" s="1064" t="s">
        <v>451</v>
      </c>
      <c r="L181" s="1064"/>
      <c r="M181" s="1065"/>
      <c r="N181" s="946">
        <f>I181*J181</f>
        <v>360000</v>
      </c>
    </row>
    <row r="182" spans="1:14" ht="18" customHeight="1">
      <c r="A182" s="887"/>
      <c r="B182" s="887"/>
      <c r="C182" s="890"/>
      <c r="D182" s="905"/>
      <c r="E182" s="703"/>
      <c r="F182" s="703"/>
      <c r="G182" s="703">
        <f t="shared" si="26"/>
        <v>0</v>
      </c>
      <c r="H182" s="990" t="s">
        <v>624</v>
      </c>
      <c r="I182" s="843">
        <f>SUM(I183*J183,I184*J184)</f>
        <v>1620000</v>
      </c>
      <c r="J182" s="1055"/>
      <c r="K182" s="1056"/>
      <c r="L182" s="1056"/>
      <c r="M182" s="1057"/>
      <c r="N182" s="1057">
        <f>I182</f>
        <v>1620000</v>
      </c>
    </row>
    <row r="183" spans="1:14" ht="18" customHeight="1">
      <c r="A183" s="887"/>
      <c r="B183" s="887"/>
      <c r="C183" s="890"/>
      <c r="D183" s="905">
        <v>1600000</v>
      </c>
      <c r="E183" s="703">
        <f>N183</f>
        <v>820000</v>
      </c>
      <c r="F183" s="703"/>
      <c r="G183" s="703">
        <f t="shared" si="26"/>
        <v>-780000</v>
      </c>
      <c r="H183" s="1066" t="s">
        <v>124</v>
      </c>
      <c r="I183" s="828">
        <v>10000</v>
      </c>
      <c r="J183" s="1067">
        <v>82</v>
      </c>
      <c r="K183" s="1068" t="s">
        <v>487</v>
      </c>
      <c r="L183" s="1068"/>
      <c r="M183" s="1069"/>
      <c r="N183" s="948">
        <f>I183*J183</f>
        <v>820000</v>
      </c>
    </row>
    <row r="184" spans="1:14" ht="18" customHeight="1" thickBot="1">
      <c r="A184" s="887"/>
      <c r="B184" s="887"/>
      <c r="C184" s="890"/>
      <c r="D184" s="905">
        <v>1600000</v>
      </c>
      <c r="E184" s="703">
        <f>N184</f>
        <v>800000</v>
      </c>
      <c r="F184" s="903"/>
      <c r="G184" s="703">
        <f t="shared" si="26"/>
        <v>-800000</v>
      </c>
      <c r="H184" s="989" t="s">
        <v>125</v>
      </c>
      <c r="I184" s="817">
        <v>10000</v>
      </c>
      <c r="J184" s="1063">
        <v>80</v>
      </c>
      <c r="K184" s="1064" t="s">
        <v>487</v>
      </c>
      <c r="L184" s="1064"/>
      <c r="M184" s="1065"/>
      <c r="N184" s="943">
        <f>I184*J184</f>
        <v>800000</v>
      </c>
    </row>
    <row r="185" spans="1:14" ht="15" thickBot="1">
      <c r="A185" s="577" t="s">
        <v>34</v>
      </c>
      <c r="B185" s="577"/>
      <c r="C185" s="577" t="s">
        <v>42</v>
      </c>
      <c r="D185" s="885">
        <f>D186</f>
        <v>20000000</v>
      </c>
      <c r="E185" s="577">
        <f>E186</f>
        <v>20000000</v>
      </c>
      <c r="F185" s="885">
        <f>N185</f>
        <v>20000000</v>
      </c>
      <c r="G185" s="577">
        <f t="shared" ref="G185:G189" si="27">E185-D185</f>
        <v>0</v>
      </c>
      <c r="H185" s="573"/>
      <c r="I185" s="576"/>
      <c r="J185" s="575"/>
      <c r="K185" s="575"/>
      <c r="L185" s="575"/>
      <c r="M185" s="575"/>
      <c r="N185" s="780">
        <f>N186</f>
        <v>20000000</v>
      </c>
    </row>
    <row r="186" spans="1:14" s="523" customFormat="1" ht="15" thickBot="1">
      <c r="A186" s="887"/>
      <c r="B186" s="577" t="s">
        <v>34</v>
      </c>
      <c r="C186" s="577"/>
      <c r="D186" s="885">
        <f>D187</f>
        <v>20000000</v>
      </c>
      <c r="E186" s="577">
        <f>E187</f>
        <v>20000000</v>
      </c>
      <c r="F186" s="885">
        <f>N186</f>
        <v>20000000</v>
      </c>
      <c r="G186" s="577">
        <f t="shared" si="27"/>
        <v>0</v>
      </c>
      <c r="H186" s="573"/>
      <c r="I186" s="576"/>
      <c r="J186" s="575"/>
      <c r="K186" s="575"/>
      <c r="L186" s="575"/>
      <c r="M186" s="954"/>
      <c r="N186" s="780">
        <f>N187</f>
        <v>20000000</v>
      </c>
    </row>
    <row r="187" spans="1:14" s="523" customFormat="1" ht="15" thickBot="1">
      <c r="A187" s="887"/>
      <c r="B187" s="887"/>
      <c r="C187" s="893" t="s">
        <v>126</v>
      </c>
      <c r="D187" s="884">
        <v>20000000</v>
      </c>
      <c r="E187" s="893">
        <f>N187</f>
        <v>20000000</v>
      </c>
      <c r="F187" s="885">
        <f>N187</f>
        <v>20000000</v>
      </c>
      <c r="G187" s="577">
        <f t="shared" si="27"/>
        <v>0</v>
      </c>
      <c r="H187" s="640" t="s">
        <v>126</v>
      </c>
      <c r="I187" s="643"/>
      <c r="J187" s="642"/>
      <c r="K187" s="642"/>
      <c r="L187" s="642"/>
      <c r="M187" s="923"/>
      <c r="N187" s="908">
        <f>SUM(N188:N189)</f>
        <v>20000000</v>
      </c>
    </row>
    <row r="188" spans="1:14" ht="15" customHeight="1" thickBot="1">
      <c r="A188" s="887"/>
      <c r="B188" s="887"/>
      <c r="C188" s="890"/>
      <c r="D188" s="905">
        <v>5000000</v>
      </c>
      <c r="E188" s="703">
        <v>5000000</v>
      </c>
      <c r="F188" s="893"/>
      <c r="G188" s="887">
        <f t="shared" si="27"/>
        <v>0</v>
      </c>
      <c r="H188" s="955" t="s">
        <v>626</v>
      </c>
      <c r="I188" s="836">
        <v>5000000</v>
      </c>
      <c r="J188" s="956">
        <v>1</v>
      </c>
      <c r="K188" s="957" t="s">
        <v>464</v>
      </c>
      <c r="L188" s="956"/>
      <c r="M188" s="958"/>
      <c r="N188" s="943">
        <f>I188</f>
        <v>5000000</v>
      </c>
    </row>
    <row r="189" spans="1:14" ht="15" customHeight="1" thickBot="1">
      <c r="A189" s="887"/>
      <c r="B189" s="887"/>
      <c r="C189" s="890"/>
      <c r="D189" s="905">
        <v>15000000</v>
      </c>
      <c r="E189" s="902">
        <f>I189</f>
        <v>15000000</v>
      </c>
      <c r="F189" s="884"/>
      <c r="G189" s="703">
        <f t="shared" si="27"/>
        <v>0</v>
      </c>
      <c r="H189" s="955" t="s">
        <v>627</v>
      </c>
      <c r="I189" s="836">
        <v>15000000</v>
      </c>
      <c r="J189" s="956">
        <v>1</v>
      </c>
      <c r="K189" s="957" t="s">
        <v>464</v>
      </c>
      <c r="L189" s="956"/>
      <c r="M189" s="958"/>
      <c r="N189" s="943">
        <f>I189</f>
        <v>15000000</v>
      </c>
    </row>
    <row r="190" spans="1:14" ht="15" customHeight="1" thickBot="1">
      <c r="A190" s="577" t="s">
        <v>35</v>
      </c>
      <c r="B190" s="577"/>
      <c r="C190" s="577"/>
      <c r="D190" s="885">
        <f>D191</f>
        <v>18900000</v>
      </c>
      <c r="E190" s="885">
        <f>E191</f>
        <v>19140000</v>
      </c>
      <c r="F190" s="885">
        <f>F191</f>
        <v>19140000</v>
      </c>
      <c r="G190" s="577">
        <f t="shared" ref="G190:G191" si="28">E190-D190</f>
        <v>240000</v>
      </c>
      <c r="H190" s="573"/>
      <c r="I190" s="576"/>
      <c r="J190" s="575"/>
      <c r="K190" s="575"/>
      <c r="L190" s="575"/>
      <c r="M190" s="954"/>
      <c r="N190" s="780">
        <f>N191</f>
        <v>19140000</v>
      </c>
    </row>
    <row r="191" spans="1:14" ht="15" customHeight="1" thickBot="1">
      <c r="A191" s="887"/>
      <c r="B191" s="577" t="s">
        <v>35</v>
      </c>
      <c r="C191" s="577" t="s">
        <v>35</v>
      </c>
      <c r="D191" s="885">
        <f>SUM(D192:D195)</f>
        <v>18900000</v>
      </c>
      <c r="E191" s="885">
        <f>SUM(E192:E195)</f>
        <v>19140000</v>
      </c>
      <c r="F191" s="885">
        <f>F192+F195+F196+F197</f>
        <v>19140000</v>
      </c>
      <c r="G191" s="577">
        <f t="shared" si="28"/>
        <v>240000</v>
      </c>
      <c r="H191" s="589" t="s">
        <v>35</v>
      </c>
      <c r="I191" s="594"/>
      <c r="J191" s="593"/>
      <c r="K191" s="593"/>
      <c r="L191" s="593"/>
      <c r="M191" s="797"/>
      <c r="N191" s="780">
        <f>SUM(N192:N195)-N192</f>
        <v>19140000</v>
      </c>
    </row>
    <row r="192" spans="1:14" ht="18" customHeight="1">
      <c r="A192" s="887"/>
      <c r="B192" s="887"/>
      <c r="C192" s="847" t="s">
        <v>208</v>
      </c>
      <c r="D192" s="897"/>
      <c r="E192" s="897"/>
      <c r="F192" s="894">
        <f>I192</f>
        <v>12140000</v>
      </c>
      <c r="G192" s="703">
        <f>E192-D192</f>
        <v>0</v>
      </c>
      <c r="H192" s="959" t="s">
        <v>208</v>
      </c>
      <c r="I192" s="840">
        <f>SUM(I193:I194)</f>
        <v>12140000</v>
      </c>
      <c r="J192" s="730"/>
      <c r="K192" s="730"/>
      <c r="L192" s="730"/>
      <c r="M192" s="960"/>
      <c r="N192" s="1145">
        <f>I192</f>
        <v>12140000</v>
      </c>
    </row>
    <row r="193" spans="1:14" ht="28.5">
      <c r="A193" s="887"/>
      <c r="B193" s="887"/>
      <c r="C193" s="887"/>
      <c r="D193" s="897">
        <v>7000000</v>
      </c>
      <c r="E193" s="703">
        <f>N193</f>
        <v>7440000</v>
      </c>
      <c r="F193" s="894"/>
      <c r="G193" s="703">
        <f t="shared" ref="G193" si="29">E193-D193</f>
        <v>440000</v>
      </c>
      <c r="H193" s="961" t="s">
        <v>579</v>
      </c>
      <c r="I193" s="836">
        <v>7440000</v>
      </c>
      <c r="J193" s="836">
        <v>1</v>
      </c>
      <c r="K193" s="836" t="s">
        <v>464</v>
      </c>
      <c r="L193" s="706" t="s">
        <v>715</v>
      </c>
      <c r="M193" s="962"/>
      <c r="N193" s="963">
        <f>I193*J193</f>
        <v>7440000</v>
      </c>
    </row>
    <row r="194" spans="1:14" ht="18" customHeight="1">
      <c r="A194" s="887"/>
      <c r="B194" s="887"/>
      <c r="C194" s="887"/>
      <c r="D194" s="897">
        <v>4900000</v>
      </c>
      <c r="E194" s="703">
        <f>N194</f>
        <v>4700000</v>
      </c>
      <c r="F194" s="894"/>
      <c r="G194" s="703">
        <f>E194-D194</f>
        <v>-200000</v>
      </c>
      <c r="H194" s="961" t="s">
        <v>513</v>
      </c>
      <c r="I194" s="817">
        <v>4700000</v>
      </c>
      <c r="J194" s="817">
        <v>1</v>
      </c>
      <c r="K194" s="817" t="s">
        <v>464</v>
      </c>
      <c r="L194" s="817"/>
      <c r="M194" s="1028"/>
      <c r="N194" s="615">
        <f t="shared" ref="N194:N195" si="30">I194*J194</f>
        <v>4700000</v>
      </c>
    </row>
    <row r="195" spans="1:14" ht="18" customHeight="1" thickBot="1">
      <c r="A195" s="887"/>
      <c r="B195" s="887"/>
      <c r="C195" s="703" t="s">
        <v>209</v>
      </c>
      <c r="D195" s="897">
        <v>7000000</v>
      </c>
      <c r="E195" s="703">
        <f>N195</f>
        <v>7000000</v>
      </c>
      <c r="F195" s="894">
        <f>N195</f>
        <v>7000000</v>
      </c>
      <c r="G195" s="703">
        <f t="shared" ref="G195" si="31">E195-D195</f>
        <v>0</v>
      </c>
      <c r="H195" s="1135" t="s">
        <v>514</v>
      </c>
      <c r="I195" s="1136">
        <v>7000000</v>
      </c>
      <c r="J195" s="625">
        <v>1</v>
      </c>
      <c r="K195" s="662" t="s">
        <v>464</v>
      </c>
      <c r="L195" s="625"/>
      <c r="M195" s="1027"/>
      <c r="N195" s="616">
        <f t="shared" si="30"/>
        <v>7000000</v>
      </c>
    </row>
    <row r="196" spans="1:14" ht="14.25" hidden="1" customHeight="1" thickBot="1">
      <c r="A196" s="887"/>
      <c r="B196" s="887"/>
      <c r="C196" s="887"/>
      <c r="D196" s="894"/>
      <c r="E196" s="894"/>
      <c r="F196" s="894">
        <f t="shared" ref="F196:F197" si="32">N196</f>
        <v>0</v>
      </c>
      <c r="G196" s="894">
        <f>E196-F196</f>
        <v>0</v>
      </c>
      <c r="H196" s="964"/>
      <c r="I196" s="891"/>
      <c r="J196" s="872"/>
      <c r="K196" s="872"/>
      <c r="L196" s="872"/>
      <c r="M196" s="965"/>
      <c r="N196" s="628"/>
    </row>
    <row r="197" spans="1:14" ht="15" hidden="1" customHeight="1" thickBot="1">
      <c r="A197" s="887"/>
      <c r="B197" s="887"/>
      <c r="C197" s="887"/>
      <c r="D197" s="894"/>
      <c r="E197" s="894"/>
      <c r="F197" s="894">
        <f t="shared" si="32"/>
        <v>0</v>
      </c>
      <c r="G197" s="894">
        <f>E197-F197</f>
        <v>0</v>
      </c>
      <c r="H197" s="907"/>
      <c r="I197" s="891"/>
      <c r="J197" s="872"/>
      <c r="K197" s="872"/>
      <c r="L197" s="872"/>
      <c r="M197" s="965"/>
      <c r="N197" s="688"/>
    </row>
    <row r="198" spans="1:14" ht="15" customHeight="1" thickBot="1">
      <c r="A198" s="577" t="s">
        <v>36</v>
      </c>
      <c r="B198" s="577"/>
      <c r="C198" s="577" t="s">
        <v>42</v>
      </c>
      <c r="D198" s="885">
        <f>D199</f>
        <v>14400000</v>
      </c>
      <c r="E198" s="885">
        <f>E199</f>
        <v>18132585</v>
      </c>
      <c r="F198" s="885">
        <f>F199</f>
        <v>16560000</v>
      </c>
      <c r="G198" s="577">
        <f t="shared" ref="G198" si="33">E198-D198</f>
        <v>3732585</v>
      </c>
      <c r="H198" s="573"/>
      <c r="I198" s="576"/>
      <c r="J198" s="575"/>
      <c r="K198" s="575"/>
      <c r="L198" s="575"/>
      <c r="M198" s="954"/>
      <c r="N198" s="780">
        <f>N199</f>
        <v>18132585</v>
      </c>
    </row>
    <row r="199" spans="1:14" ht="15" customHeight="1" thickBot="1">
      <c r="A199" s="887"/>
      <c r="B199" s="577" t="s">
        <v>36</v>
      </c>
      <c r="C199" s="577"/>
      <c r="D199" s="885">
        <f>SUM(D200:D204)</f>
        <v>14400000</v>
      </c>
      <c r="E199" s="885">
        <f>SUM(E200:E204)</f>
        <v>18132585</v>
      </c>
      <c r="F199" s="885">
        <f>SUM(F200:F202)</f>
        <v>16560000</v>
      </c>
      <c r="G199" s="577">
        <f t="shared" ref="G199:G204" si="34">E199-D199</f>
        <v>3732585</v>
      </c>
      <c r="H199" s="591" t="s">
        <v>36</v>
      </c>
      <c r="I199" s="594"/>
      <c r="J199" s="593"/>
      <c r="K199" s="593"/>
      <c r="L199" s="593"/>
      <c r="M199" s="797"/>
      <c r="N199" s="780">
        <f>SUM(N200:N204)-N200</f>
        <v>18132585</v>
      </c>
    </row>
    <row r="200" spans="1:14" ht="18" customHeight="1">
      <c r="A200" s="887"/>
      <c r="B200" s="887"/>
      <c r="C200" s="898" t="s">
        <v>260</v>
      </c>
      <c r="D200" s="899"/>
      <c r="E200" s="897"/>
      <c r="F200" s="894">
        <f>I200</f>
        <v>16560000</v>
      </c>
      <c r="G200" s="703">
        <f t="shared" si="34"/>
        <v>0</v>
      </c>
      <c r="H200" s="853" t="s">
        <v>249</v>
      </c>
      <c r="I200" s="843">
        <f>SUM(I201*J201,I202*J202)</f>
        <v>16560000</v>
      </c>
      <c r="J200" s="855"/>
      <c r="K200" s="845"/>
      <c r="L200" s="845"/>
      <c r="M200" s="837" t="s">
        <v>36</v>
      </c>
      <c r="N200" s="673">
        <f>I200</f>
        <v>16560000</v>
      </c>
    </row>
    <row r="201" spans="1:14" ht="18" customHeight="1">
      <c r="A201" s="887"/>
      <c r="B201" s="887"/>
      <c r="C201" s="703"/>
      <c r="D201" s="897">
        <v>14400000</v>
      </c>
      <c r="E201" s="897">
        <f>N201</f>
        <v>16200000</v>
      </c>
      <c r="F201" s="894"/>
      <c r="G201" s="703">
        <f t="shared" si="34"/>
        <v>1800000</v>
      </c>
      <c r="H201" s="742" t="s">
        <v>249</v>
      </c>
      <c r="I201" s="836">
        <v>1350000</v>
      </c>
      <c r="J201" s="835">
        <v>12</v>
      </c>
      <c r="K201" s="836" t="s">
        <v>451</v>
      </c>
      <c r="L201" s="836"/>
      <c r="M201" s="837" t="s">
        <v>36</v>
      </c>
      <c r="N201" s="788">
        <f>I201*J201</f>
        <v>16200000</v>
      </c>
    </row>
    <row r="202" spans="1:14" ht="18" customHeight="1">
      <c r="A202" s="887"/>
      <c r="B202" s="887"/>
      <c r="C202" s="887"/>
      <c r="D202" s="894"/>
      <c r="E202" s="897">
        <f>N202</f>
        <v>360000</v>
      </c>
      <c r="F202" s="894"/>
      <c r="G202" s="703">
        <f t="shared" si="34"/>
        <v>360000</v>
      </c>
      <c r="H202" s="857" t="s">
        <v>493</v>
      </c>
      <c r="I202" s="817">
        <v>180000</v>
      </c>
      <c r="J202" s="816">
        <v>2</v>
      </c>
      <c r="K202" s="817" t="s">
        <v>451</v>
      </c>
      <c r="L202" s="817"/>
      <c r="M202" s="858" t="s">
        <v>36</v>
      </c>
      <c r="N202" s="679">
        <f t="shared" ref="N202:N204" si="35">I202*J202</f>
        <v>360000</v>
      </c>
    </row>
    <row r="203" spans="1:14" ht="18" customHeight="1">
      <c r="A203" s="887"/>
      <c r="B203" s="887"/>
      <c r="C203" s="887"/>
      <c r="D203" s="894"/>
      <c r="E203" s="897">
        <f>N203</f>
        <v>15000</v>
      </c>
      <c r="F203" s="894"/>
      <c r="G203" s="703">
        <f t="shared" si="34"/>
        <v>15000</v>
      </c>
      <c r="H203" s="857" t="s">
        <v>647</v>
      </c>
      <c r="I203" s="817">
        <v>15000</v>
      </c>
      <c r="J203" s="816">
        <v>1</v>
      </c>
      <c r="K203" s="817" t="s">
        <v>464</v>
      </c>
      <c r="L203" s="817"/>
      <c r="M203" s="858" t="s">
        <v>36</v>
      </c>
      <c r="N203" s="679">
        <f t="shared" si="35"/>
        <v>15000</v>
      </c>
    </row>
    <row r="204" spans="1:14" ht="18" customHeight="1" thickBot="1">
      <c r="A204" s="887"/>
      <c r="B204" s="887"/>
      <c r="C204" s="887"/>
      <c r="D204" s="894"/>
      <c r="E204" s="897">
        <f>N204</f>
        <v>1557585</v>
      </c>
      <c r="F204" s="894"/>
      <c r="G204" s="703">
        <f t="shared" si="34"/>
        <v>1557585</v>
      </c>
      <c r="H204" s="857" t="s">
        <v>636</v>
      </c>
      <c r="I204" s="817">
        <v>1557585</v>
      </c>
      <c r="J204" s="816">
        <v>1</v>
      </c>
      <c r="K204" s="817" t="s">
        <v>464</v>
      </c>
      <c r="L204" s="817"/>
      <c r="M204" s="858" t="s">
        <v>36</v>
      </c>
      <c r="N204" s="679">
        <f t="shared" si="35"/>
        <v>1557585</v>
      </c>
    </row>
    <row r="205" spans="1:14" ht="15" thickBot="1">
      <c r="A205" s="892" t="s">
        <v>130</v>
      </c>
      <c r="B205" s="892"/>
      <c r="C205" s="892"/>
      <c r="D205" s="901">
        <v>131153077</v>
      </c>
      <c r="E205" s="901">
        <f>E206</f>
        <v>156323934</v>
      </c>
      <c r="F205" s="901">
        <f>F206</f>
        <v>123695774</v>
      </c>
      <c r="G205" s="892">
        <f t="shared" ref="G205:G206" si="36">E205-D205</f>
        <v>25170857</v>
      </c>
      <c r="H205" s="573"/>
      <c r="I205" s="576"/>
      <c r="J205" s="575"/>
      <c r="K205" s="575"/>
      <c r="L205" s="575"/>
      <c r="M205" s="954"/>
      <c r="N205" s="780">
        <f>N206</f>
        <v>156323934</v>
      </c>
    </row>
    <row r="206" spans="1:14" s="523" customFormat="1" ht="18.75" customHeight="1" thickBot="1">
      <c r="A206" s="901"/>
      <c r="B206" s="577" t="s">
        <v>130</v>
      </c>
      <c r="C206" s="594" t="s">
        <v>42</v>
      </c>
      <c r="D206" s="577">
        <f>SUM(D207:D219)</f>
        <v>131153077</v>
      </c>
      <c r="E206" s="577">
        <f>SUM(E207:E219)</f>
        <v>156323934</v>
      </c>
      <c r="F206" s="594">
        <f>SUM(F207:F219)</f>
        <v>123695774</v>
      </c>
      <c r="G206" s="595">
        <f t="shared" si="36"/>
        <v>25170857</v>
      </c>
      <c r="H206" s="593" t="s">
        <v>130</v>
      </c>
      <c r="I206" s="576"/>
      <c r="J206" s="575"/>
      <c r="K206" s="575"/>
      <c r="L206" s="575"/>
      <c r="M206" s="954"/>
      <c r="N206" s="780">
        <f>SUM(N217,N213,N211,N209,N207)</f>
        <v>156323934</v>
      </c>
    </row>
    <row r="207" spans="1:14" s="523" customFormat="1" ht="18.75" customHeight="1">
      <c r="A207" s="894"/>
      <c r="B207" s="887"/>
      <c r="C207" s="905" t="s">
        <v>368</v>
      </c>
      <c r="D207" s="703">
        <v>40000000</v>
      </c>
      <c r="E207" s="703">
        <f>N207</f>
        <v>60325085</v>
      </c>
      <c r="F207" s="905">
        <v>54144954</v>
      </c>
      <c r="G207" s="1089">
        <f t="shared" ref="G207:G219" si="37">E207-D207</f>
        <v>20325085</v>
      </c>
      <c r="H207" s="1127" t="s">
        <v>580</v>
      </c>
      <c r="I207" s="840">
        <f>SUM(I208:I208)</f>
        <v>60325085</v>
      </c>
      <c r="J207" s="832"/>
      <c r="K207" s="832"/>
      <c r="L207" s="832"/>
      <c r="M207" s="960"/>
      <c r="N207" s="673">
        <f>I207</f>
        <v>60325085</v>
      </c>
    </row>
    <row r="208" spans="1:14" s="523" customFormat="1" ht="18.75" customHeight="1">
      <c r="A208" s="894"/>
      <c r="B208" s="887"/>
      <c r="C208" s="905"/>
      <c r="D208" s="703"/>
      <c r="E208" s="703"/>
      <c r="F208" s="905">
        <v>15916978</v>
      </c>
      <c r="G208" s="1089">
        <f t="shared" si="37"/>
        <v>0</v>
      </c>
      <c r="H208" s="955" t="s">
        <v>443</v>
      </c>
      <c r="I208" s="836">
        <f>59154785+1170300</f>
        <v>60325085</v>
      </c>
      <c r="J208" s="835"/>
      <c r="K208" s="836"/>
      <c r="L208" s="836" t="s">
        <v>639</v>
      </c>
      <c r="M208" s="962"/>
      <c r="N208" s="788">
        <f>I208</f>
        <v>60325085</v>
      </c>
    </row>
    <row r="209" spans="1:14" s="523" customFormat="1" ht="18.75" customHeight="1">
      <c r="A209" s="894"/>
      <c r="B209" s="887"/>
      <c r="C209" s="905" t="s">
        <v>369</v>
      </c>
      <c r="D209" s="703">
        <v>32000000</v>
      </c>
      <c r="E209" s="703">
        <f>N209</f>
        <v>32506030</v>
      </c>
      <c r="F209" s="905"/>
      <c r="G209" s="1089">
        <f t="shared" si="37"/>
        <v>506030</v>
      </c>
      <c r="H209" s="990" t="s">
        <v>518</v>
      </c>
      <c r="I209" s="1078">
        <f>SUM(I210:I210)</f>
        <v>32506030</v>
      </c>
      <c r="J209" s="819"/>
      <c r="K209" s="819"/>
      <c r="L209" s="600"/>
      <c r="M209" s="1128"/>
      <c r="N209" s="790">
        <f t="shared" ref="N209:N213" si="38">I209</f>
        <v>32506030</v>
      </c>
    </row>
    <row r="210" spans="1:14" s="523" customFormat="1" ht="18.75" customHeight="1">
      <c r="A210" s="894"/>
      <c r="B210" s="887"/>
      <c r="C210" s="905"/>
      <c r="D210" s="703"/>
      <c r="E210" s="703"/>
      <c r="F210" s="905">
        <v>51035998</v>
      </c>
      <c r="G210" s="1089">
        <f t="shared" si="37"/>
        <v>0</v>
      </c>
      <c r="H210" s="955" t="s">
        <v>517</v>
      </c>
      <c r="I210" s="836">
        <v>32506030</v>
      </c>
      <c r="J210" s="835"/>
      <c r="K210" s="835"/>
      <c r="L210" s="706" t="s">
        <v>638</v>
      </c>
      <c r="M210" s="858"/>
      <c r="N210" s="679">
        <f>I210</f>
        <v>32506030</v>
      </c>
    </row>
    <row r="211" spans="1:14" s="523" customFormat="1" ht="18.75" customHeight="1">
      <c r="A211" s="894"/>
      <c r="B211" s="887"/>
      <c r="C211" s="905" t="s">
        <v>238</v>
      </c>
      <c r="D211" s="1090">
        <v>29500000</v>
      </c>
      <c r="E211" s="703">
        <f>N211</f>
        <v>29278258</v>
      </c>
      <c r="F211" s="878"/>
      <c r="G211" s="1089">
        <f t="shared" si="37"/>
        <v>-221742</v>
      </c>
      <c r="H211" s="1129" t="s">
        <v>581</v>
      </c>
      <c r="I211" s="1079">
        <f>I212</f>
        <v>29278258</v>
      </c>
      <c r="J211" s="684"/>
      <c r="K211" s="684"/>
      <c r="L211" s="620"/>
      <c r="M211" s="858"/>
      <c r="N211" s="976">
        <f t="shared" si="38"/>
        <v>29278258</v>
      </c>
    </row>
    <row r="212" spans="1:14" s="523" customFormat="1" ht="18.75" customHeight="1">
      <c r="A212" s="894"/>
      <c r="B212" s="887"/>
      <c r="C212" s="905"/>
      <c r="D212" s="1090"/>
      <c r="E212" s="1090"/>
      <c r="F212" s="878"/>
      <c r="G212" s="1089">
        <f t="shared" si="37"/>
        <v>0</v>
      </c>
      <c r="H212" s="1130" t="s">
        <v>133</v>
      </c>
      <c r="I212" s="846">
        <v>29278258</v>
      </c>
      <c r="J212" s="991"/>
      <c r="K212" s="991"/>
      <c r="L212" s="697" t="s">
        <v>637</v>
      </c>
      <c r="M212" s="858"/>
      <c r="N212" s="686">
        <f>I212</f>
        <v>29278258</v>
      </c>
    </row>
    <row r="213" spans="1:14" s="523" customFormat="1" ht="18.75" customHeight="1">
      <c r="A213" s="894"/>
      <c r="B213" s="887"/>
      <c r="C213" s="878" t="s">
        <v>239</v>
      </c>
      <c r="D213" s="1090">
        <v>19700000</v>
      </c>
      <c r="E213" s="703">
        <f>N213</f>
        <v>24254901</v>
      </c>
      <c r="F213" s="878"/>
      <c r="G213" s="1089">
        <f t="shared" si="37"/>
        <v>4554901</v>
      </c>
      <c r="H213" s="990" t="s">
        <v>520</v>
      </c>
      <c r="I213" s="1078">
        <f>SUM(I214:I216)</f>
        <v>24254901</v>
      </c>
      <c r="J213" s="968"/>
      <c r="K213" s="968"/>
      <c r="L213" s="992"/>
      <c r="M213" s="962"/>
      <c r="N213" s="790">
        <f t="shared" si="38"/>
        <v>24254901</v>
      </c>
    </row>
    <row r="214" spans="1:14" s="523" customFormat="1" ht="18.75" customHeight="1">
      <c r="A214" s="894"/>
      <c r="B214" s="887"/>
      <c r="C214" s="878"/>
      <c r="D214" s="1090"/>
      <c r="E214" s="1090"/>
      <c r="F214" s="878">
        <f>I214</f>
        <v>2597844</v>
      </c>
      <c r="G214" s="1089">
        <f t="shared" si="37"/>
        <v>0</v>
      </c>
      <c r="H214" s="955" t="s">
        <v>209</v>
      </c>
      <c r="I214" s="1080">
        <v>2597844</v>
      </c>
      <c r="J214" s="966"/>
      <c r="K214" s="966"/>
      <c r="L214" s="600" t="s">
        <v>637</v>
      </c>
      <c r="M214" s="962"/>
      <c r="N214" s="788">
        <f t="shared" ref="N214:N219" si="39">I214</f>
        <v>2597844</v>
      </c>
    </row>
    <row r="215" spans="1:14" s="523" customFormat="1" ht="18.75" customHeight="1">
      <c r="A215" s="894"/>
      <c r="B215" s="887"/>
      <c r="C215" s="878"/>
      <c r="D215" s="1090"/>
      <c r="E215" s="1090"/>
      <c r="F215" s="878"/>
      <c r="G215" s="1089">
        <f t="shared" si="37"/>
        <v>0</v>
      </c>
      <c r="H215" s="1131" t="s">
        <v>208</v>
      </c>
      <c r="I215" s="1081">
        <v>4658370</v>
      </c>
      <c r="J215" s="1022"/>
      <c r="K215" s="1022"/>
      <c r="L215" s="600" t="s">
        <v>637</v>
      </c>
      <c r="M215" s="1132"/>
      <c r="N215" s="675">
        <f t="shared" si="39"/>
        <v>4658370</v>
      </c>
    </row>
    <row r="216" spans="1:14" s="523" customFormat="1" ht="18.75" customHeight="1">
      <c r="A216" s="894"/>
      <c r="B216" s="887"/>
      <c r="C216" s="878"/>
      <c r="D216" s="1090"/>
      <c r="E216" s="1090"/>
      <c r="F216" s="878"/>
      <c r="G216" s="1089">
        <f t="shared" si="37"/>
        <v>0</v>
      </c>
      <c r="H216" s="989" t="s">
        <v>515</v>
      </c>
      <c r="I216" s="1082">
        <v>16998687</v>
      </c>
      <c r="J216" s="967"/>
      <c r="K216" s="967"/>
      <c r="L216" s="614" t="s">
        <v>637</v>
      </c>
      <c r="M216" s="858"/>
      <c r="N216" s="679">
        <f t="shared" si="39"/>
        <v>16998687</v>
      </c>
    </row>
    <row r="217" spans="1:14" s="523" customFormat="1" ht="18.75" customHeight="1">
      <c r="A217" s="894"/>
      <c r="B217" s="887"/>
      <c r="C217" s="878" t="s">
        <v>240</v>
      </c>
      <c r="D217" s="1090">
        <v>9953077</v>
      </c>
      <c r="E217" s="703">
        <f>N217</f>
        <v>9959660</v>
      </c>
      <c r="F217" s="878"/>
      <c r="G217" s="1089">
        <f t="shared" si="37"/>
        <v>6583</v>
      </c>
      <c r="H217" s="990" t="s">
        <v>519</v>
      </c>
      <c r="I217" s="1078">
        <f>SUM(I218:I219)</f>
        <v>9959660</v>
      </c>
      <c r="J217" s="968"/>
      <c r="K217" s="968"/>
      <c r="L217" s="1126"/>
      <c r="M217" s="962"/>
      <c r="N217" s="790">
        <f t="shared" si="39"/>
        <v>9959660</v>
      </c>
    </row>
    <row r="218" spans="1:14" s="523" customFormat="1" ht="18.75" customHeight="1">
      <c r="A218" s="894"/>
      <c r="B218" s="887"/>
      <c r="C218" s="878"/>
      <c r="D218" s="1090"/>
      <c r="E218" s="703"/>
      <c r="F218" s="878"/>
      <c r="G218" s="1089">
        <f t="shared" si="37"/>
        <v>0</v>
      </c>
      <c r="H218" s="1133" t="s">
        <v>516</v>
      </c>
      <c r="I218" s="969">
        <v>9957697</v>
      </c>
      <c r="J218" s="968"/>
      <c r="K218" s="968"/>
      <c r="L218" s="600" t="s">
        <v>638</v>
      </c>
      <c r="M218" s="1132"/>
      <c r="N218" s="683">
        <f t="shared" si="39"/>
        <v>9957697</v>
      </c>
    </row>
    <row r="219" spans="1:14" s="523" customFormat="1" ht="18.75" customHeight="1" thickBot="1">
      <c r="A219" s="884"/>
      <c r="B219" s="893"/>
      <c r="C219" s="587"/>
      <c r="D219" s="1091"/>
      <c r="E219" s="1091"/>
      <c r="F219" s="587"/>
      <c r="G219" s="1092">
        <f t="shared" si="37"/>
        <v>0</v>
      </c>
      <c r="H219" s="1134" t="s">
        <v>596</v>
      </c>
      <c r="I219" s="971">
        <v>1963</v>
      </c>
      <c r="J219" s="970"/>
      <c r="K219" s="970"/>
      <c r="L219" s="633" t="s">
        <v>638</v>
      </c>
      <c r="M219" s="667"/>
      <c r="N219" s="807">
        <f t="shared" si="39"/>
        <v>1963</v>
      </c>
    </row>
    <row r="232" spans="4:4">
      <c r="D232" s="879">
        <f>D230-D229</f>
        <v>0</v>
      </c>
    </row>
  </sheetData>
  <mergeCells count="60">
    <mergeCell ref="M35:M36"/>
    <mergeCell ref="H35:H36"/>
    <mergeCell ref="M85:M86"/>
    <mergeCell ref="M90:M91"/>
    <mergeCell ref="M87:M89"/>
    <mergeCell ref="H101:H102"/>
    <mergeCell ref="H57:H58"/>
    <mergeCell ref="H59:H60"/>
    <mergeCell ref="H61:H62"/>
    <mergeCell ref="H63:H64"/>
    <mergeCell ref="H66:H67"/>
    <mergeCell ref="H85:H86"/>
    <mergeCell ref="H90:H91"/>
    <mergeCell ref="H68:H69"/>
    <mergeCell ref="H70:H71"/>
    <mergeCell ref="H99:H100"/>
    <mergeCell ref="H82:H83"/>
    <mergeCell ref="H87:H89"/>
    <mergeCell ref="H93:H94"/>
    <mergeCell ref="H77:H78"/>
    <mergeCell ref="H24:H25"/>
    <mergeCell ref="M24:M25"/>
    <mergeCell ref="M33:M34"/>
    <mergeCell ref="H33:H34"/>
    <mergeCell ref="H26:H27"/>
    <mergeCell ref="M26:M27"/>
    <mergeCell ref="H28:H29"/>
    <mergeCell ref="M28:M29"/>
    <mergeCell ref="H30:H31"/>
    <mergeCell ref="M30:M31"/>
    <mergeCell ref="A1:N1"/>
    <mergeCell ref="H13:H14"/>
    <mergeCell ref="M13:M14"/>
    <mergeCell ref="H15:H16"/>
    <mergeCell ref="M15:M16"/>
    <mergeCell ref="D3:D4"/>
    <mergeCell ref="E3:E4"/>
    <mergeCell ref="G3:G4"/>
    <mergeCell ref="H17:H18"/>
    <mergeCell ref="M17:M18"/>
    <mergeCell ref="H19:H20"/>
    <mergeCell ref="M19:M20"/>
    <mergeCell ref="H21:H22"/>
    <mergeCell ref="M21:M22"/>
    <mergeCell ref="H103:H104"/>
    <mergeCell ref="M82:M83"/>
    <mergeCell ref="H72:H73"/>
    <mergeCell ref="M167:M168"/>
    <mergeCell ref="M169:M170"/>
    <mergeCell ref="H107:H108"/>
    <mergeCell ref="H114:H115"/>
    <mergeCell ref="H116:H117"/>
    <mergeCell ref="M164:M166"/>
    <mergeCell ref="M93:M94"/>
    <mergeCell ref="M116:M117"/>
    <mergeCell ref="M107:M108"/>
    <mergeCell ref="M101:M102"/>
    <mergeCell ref="M99:M100"/>
    <mergeCell ref="M103:M104"/>
    <mergeCell ref="H75:H76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43" fitToHeight="0" orientation="landscape" r:id="rId1"/>
  <headerFooter alignWithMargins="0"/>
  <rowBreaks count="5" manualBreakCount="5">
    <brk id="40" max="13" man="1"/>
    <brk id="78" max="13" man="1"/>
    <brk id="109" max="13" man="1"/>
    <brk id="147" max="13" man="1"/>
    <brk id="184" max="1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66EB-E3B3-4D00-A0C1-A53011FE950A}">
  <sheetPr>
    <pageSetUpPr fitToPage="1"/>
  </sheetPr>
  <dimension ref="A1:X345"/>
  <sheetViews>
    <sheetView view="pageBreakPreview" topLeftCell="G1" zoomScale="85" zoomScaleNormal="85" zoomScaleSheetLayoutView="85" workbookViewId="0">
      <pane ySplit="5" topLeftCell="A301" activePane="bottomLeft" state="frozen"/>
      <selection activeCell="A3" sqref="A3:C3"/>
      <selection pane="bottomLeft" activeCell="N290" sqref="N290"/>
    </sheetView>
  </sheetViews>
  <sheetFormatPr defaultRowHeight="14.25"/>
  <cols>
    <col min="1" max="1" width="17.77734375" style="879" bestFit="1" customWidth="1"/>
    <col min="2" max="2" width="16" style="879" bestFit="1" customWidth="1"/>
    <col min="3" max="3" width="33.5546875" style="879" bestFit="1" customWidth="1"/>
    <col min="4" max="5" width="17.77734375" style="879" bestFit="1" customWidth="1"/>
    <col min="6" max="6" width="17.77734375" style="879" hidden="1" customWidth="1"/>
    <col min="7" max="7" width="18.5546875" style="879" customWidth="1"/>
    <col min="8" max="8" width="39.21875" style="879" customWidth="1"/>
    <col min="9" max="9" width="17.44140625" style="880" bestFit="1" customWidth="1"/>
    <col min="10" max="10" width="7.44140625" style="879" bestFit="1" customWidth="1"/>
    <col min="11" max="11" width="11.5546875" style="879" bestFit="1" customWidth="1"/>
    <col min="12" max="12" width="37.6640625" style="881" bestFit="1" customWidth="1"/>
    <col min="13" max="13" width="14.5546875" style="881" bestFit="1" customWidth="1"/>
    <col min="14" max="14" width="17.77734375" style="879" bestFit="1" customWidth="1"/>
    <col min="15" max="15" width="25.88671875" style="439" bestFit="1" customWidth="1"/>
    <col min="16" max="16" width="15.44140625" style="439" bestFit="1" customWidth="1"/>
    <col min="17" max="19" width="12.6640625" style="439" bestFit="1" customWidth="1"/>
    <col min="20" max="20" width="12.6640625" style="439" customWidth="1"/>
    <col min="21" max="23" width="12.6640625" style="439" bestFit="1" customWidth="1"/>
    <col min="24" max="24" width="13.77734375" style="439" bestFit="1" customWidth="1"/>
    <col min="25" max="259" width="8.88671875" style="439"/>
    <col min="260" max="260" width="10.109375" style="439" bestFit="1" customWidth="1"/>
    <col min="261" max="261" width="11.5546875" style="439" bestFit="1" customWidth="1"/>
    <col min="262" max="262" width="26.109375" style="439" bestFit="1" customWidth="1"/>
    <col min="263" max="264" width="13.77734375" style="439" customWidth="1"/>
    <col min="265" max="265" width="0" style="439" hidden="1" customWidth="1"/>
    <col min="266" max="266" width="14" style="439" bestFit="1" customWidth="1"/>
    <col min="267" max="267" width="26.44140625" style="439" customWidth="1"/>
    <col min="268" max="268" width="10.6640625" style="439" customWidth="1"/>
    <col min="269" max="269" width="17.88671875" style="439" customWidth="1"/>
    <col min="270" max="270" width="14.109375" style="439" bestFit="1" customWidth="1"/>
    <col min="271" max="271" width="12.6640625" style="439" customWidth="1"/>
    <col min="272" max="272" width="15.6640625" style="439" bestFit="1" customWidth="1"/>
    <col min="273" max="273" width="14.109375" style="439" bestFit="1" customWidth="1"/>
    <col min="274" max="274" width="8.88671875" style="439"/>
    <col min="275" max="275" width="15.88671875" style="439" customWidth="1"/>
    <col min="276" max="515" width="8.88671875" style="439"/>
    <col min="516" max="516" width="10.109375" style="439" bestFit="1" customWidth="1"/>
    <col min="517" max="517" width="11.5546875" style="439" bestFit="1" customWidth="1"/>
    <col min="518" max="518" width="26.109375" style="439" bestFit="1" customWidth="1"/>
    <col min="519" max="520" width="13.77734375" style="439" customWidth="1"/>
    <col min="521" max="521" width="0" style="439" hidden="1" customWidth="1"/>
    <col min="522" max="522" width="14" style="439" bestFit="1" customWidth="1"/>
    <col min="523" max="523" width="26.44140625" style="439" customWidth="1"/>
    <col min="524" max="524" width="10.6640625" style="439" customWidth="1"/>
    <col min="525" max="525" width="17.88671875" style="439" customWidth="1"/>
    <col min="526" max="526" width="14.109375" style="439" bestFit="1" customWidth="1"/>
    <col min="527" max="527" width="12.6640625" style="439" customWidth="1"/>
    <col min="528" max="528" width="15.6640625" style="439" bestFit="1" customWidth="1"/>
    <col min="529" max="529" width="14.109375" style="439" bestFit="1" customWidth="1"/>
    <col min="530" max="530" width="8.88671875" style="439"/>
    <col min="531" max="531" width="15.88671875" style="439" customWidth="1"/>
    <col min="532" max="771" width="8.88671875" style="439"/>
    <col min="772" max="772" width="10.109375" style="439" bestFit="1" customWidth="1"/>
    <col min="773" max="773" width="11.5546875" style="439" bestFit="1" customWidth="1"/>
    <col min="774" max="774" width="26.109375" style="439" bestFit="1" customWidth="1"/>
    <col min="775" max="776" width="13.77734375" style="439" customWidth="1"/>
    <col min="777" max="777" width="0" style="439" hidden="1" customWidth="1"/>
    <col min="778" max="778" width="14" style="439" bestFit="1" customWidth="1"/>
    <col min="779" max="779" width="26.44140625" style="439" customWidth="1"/>
    <col min="780" max="780" width="10.6640625" style="439" customWidth="1"/>
    <col min="781" max="781" width="17.88671875" style="439" customWidth="1"/>
    <col min="782" max="782" width="14.109375" style="439" bestFit="1" customWidth="1"/>
    <col min="783" max="783" width="12.6640625" style="439" customWidth="1"/>
    <col min="784" max="784" width="15.6640625" style="439" bestFit="1" customWidth="1"/>
    <col min="785" max="785" width="14.109375" style="439" bestFit="1" customWidth="1"/>
    <col min="786" max="786" width="8.88671875" style="439"/>
    <col min="787" max="787" width="15.88671875" style="439" customWidth="1"/>
    <col min="788" max="1027" width="8.88671875" style="439"/>
    <col min="1028" max="1028" width="10.109375" style="439" bestFit="1" customWidth="1"/>
    <col min="1029" max="1029" width="11.5546875" style="439" bestFit="1" customWidth="1"/>
    <col min="1030" max="1030" width="26.109375" style="439" bestFit="1" customWidth="1"/>
    <col min="1031" max="1032" width="13.77734375" style="439" customWidth="1"/>
    <col min="1033" max="1033" width="0" style="439" hidden="1" customWidth="1"/>
    <col min="1034" max="1034" width="14" style="439" bestFit="1" customWidth="1"/>
    <col min="1035" max="1035" width="26.44140625" style="439" customWidth="1"/>
    <col min="1036" max="1036" width="10.6640625" style="439" customWidth="1"/>
    <col min="1037" max="1037" width="17.88671875" style="439" customWidth="1"/>
    <col min="1038" max="1038" width="14.109375" style="439" bestFit="1" customWidth="1"/>
    <col min="1039" max="1039" width="12.6640625" style="439" customWidth="1"/>
    <col min="1040" max="1040" width="15.6640625" style="439" bestFit="1" customWidth="1"/>
    <col min="1041" max="1041" width="14.109375" style="439" bestFit="1" customWidth="1"/>
    <col min="1042" max="1042" width="8.88671875" style="439"/>
    <col min="1043" max="1043" width="15.88671875" style="439" customWidth="1"/>
    <col min="1044" max="1283" width="8.88671875" style="439"/>
    <col min="1284" max="1284" width="10.109375" style="439" bestFit="1" customWidth="1"/>
    <col min="1285" max="1285" width="11.5546875" style="439" bestFit="1" customWidth="1"/>
    <col min="1286" max="1286" width="26.109375" style="439" bestFit="1" customWidth="1"/>
    <col min="1287" max="1288" width="13.77734375" style="439" customWidth="1"/>
    <col min="1289" max="1289" width="0" style="439" hidden="1" customWidth="1"/>
    <col min="1290" max="1290" width="14" style="439" bestFit="1" customWidth="1"/>
    <col min="1291" max="1291" width="26.44140625" style="439" customWidth="1"/>
    <col min="1292" max="1292" width="10.6640625" style="439" customWidth="1"/>
    <col min="1293" max="1293" width="17.88671875" style="439" customWidth="1"/>
    <col min="1294" max="1294" width="14.109375" style="439" bestFit="1" customWidth="1"/>
    <col min="1295" max="1295" width="12.6640625" style="439" customWidth="1"/>
    <col min="1296" max="1296" width="15.6640625" style="439" bestFit="1" customWidth="1"/>
    <col min="1297" max="1297" width="14.109375" style="439" bestFit="1" customWidth="1"/>
    <col min="1298" max="1298" width="8.88671875" style="439"/>
    <col min="1299" max="1299" width="15.88671875" style="439" customWidth="1"/>
    <col min="1300" max="1539" width="8.88671875" style="439"/>
    <col min="1540" max="1540" width="10.109375" style="439" bestFit="1" customWidth="1"/>
    <col min="1541" max="1541" width="11.5546875" style="439" bestFit="1" customWidth="1"/>
    <col min="1542" max="1542" width="26.109375" style="439" bestFit="1" customWidth="1"/>
    <col min="1543" max="1544" width="13.77734375" style="439" customWidth="1"/>
    <col min="1545" max="1545" width="0" style="439" hidden="1" customWidth="1"/>
    <col min="1546" max="1546" width="14" style="439" bestFit="1" customWidth="1"/>
    <col min="1547" max="1547" width="26.44140625" style="439" customWidth="1"/>
    <col min="1548" max="1548" width="10.6640625" style="439" customWidth="1"/>
    <col min="1549" max="1549" width="17.88671875" style="439" customWidth="1"/>
    <col min="1550" max="1550" width="14.109375" style="439" bestFit="1" customWidth="1"/>
    <col min="1551" max="1551" width="12.6640625" style="439" customWidth="1"/>
    <col min="1552" max="1552" width="15.6640625" style="439" bestFit="1" customWidth="1"/>
    <col min="1553" max="1553" width="14.109375" style="439" bestFit="1" customWidth="1"/>
    <col min="1554" max="1554" width="8.88671875" style="439"/>
    <col min="1555" max="1555" width="15.88671875" style="439" customWidth="1"/>
    <col min="1556" max="1795" width="8.88671875" style="439"/>
    <col min="1796" max="1796" width="10.109375" style="439" bestFit="1" customWidth="1"/>
    <col min="1797" max="1797" width="11.5546875" style="439" bestFit="1" customWidth="1"/>
    <col min="1798" max="1798" width="26.109375" style="439" bestFit="1" customWidth="1"/>
    <col min="1799" max="1800" width="13.77734375" style="439" customWidth="1"/>
    <col min="1801" max="1801" width="0" style="439" hidden="1" customWidth="1"/>
    <col min="1802" max="1802" width="14" style="439" bestFit="1" customWidth="1"/>
    <col min="1803" max="1803" width="26.44140625" style="439" customWidth="1"/>
    <col min="1804" max="1804" width="10.6640625" style="439" customWidth="1"/>
    <col min="1805" max="1805" width="17.88671875" style="439" customWidth="1"/>
    <col min="1806" max="1806" width="14.109375" style="439" bestFit="1" customWidth="1"/>
    <col min="1807" max="1807" width="12.6640625" style="439" customWidth="1"/>
    <col min="1808" max="1808" width="15.6640625" style="439" bestFit="1" customWidth="1"/>
    <col min="1809" max="1809" width="14.109375" style="439" bestFit="1" customWidth="1"/>
    <col min="1810" max="1810" width="8.88671875" style="439"/>
    <col min="1811" max="1811" width="15.88671875" style="439" customWidth="1"/>
    <col min="1812" max="2051" width="8.88671875" style="439"/>
    <col min="2052" max="2052" width="10.109375" style="439" bestFit="1" customWidth="1"/>
    <col min="2053" max="2053" width="11.5546875" style="439" bestFit="1" customWidth="1"/>
    <col min="2054" max="2054" width="26.109375" style="439" bestFit="1" customWidth="1"/>
    <col min="2055" max="2056" width="13.77734375" style="439" customWidth="1"/>
    <col min="2057" max="2057" width="0" style="439" hidden="1" customWidth="1"/>
    <col min="2058" max="2058" width="14" style="439" bestFit="1" customWidth="1"/>
    <col min="2059" max="2059" width="26.44140625" style="439" customWidth="1"/>
    <col min="2060" max="2060" width="10.6640625" style="439" customWidth="1"/>
    <col min="2061" max="2061" width="17.88671875" style="439" customWidth="1"/>
    <col min="2062" max="2062" width="14.109375" style="439" bestFit="1" customWidth="1"/>
    <col min="2063" max="2063" width="12.6640625" style="439" customWidth="1"/>
    <col min="2064" max="2064" width="15.6640625" style="439" bestFit="1" customWidth="1"/>
    <col min="2065" max="2065" width="14.109375" style="439" bestFit="1" customWidth="1"/>
    <col min="2066" max="2066" width="8.88671875" style="439"/>
    <col min="2067" max="2067" width="15.88671875" style="439" customWidth="1"/>
    <col min="2068" max="2307" width="8.88671875" style="439"/>
    <col min="2308" max="2308" width="10.109375" style="439" bestFit="1" customWidth="1"/>
    <col min="2309" max="2309" width="11.5546875" style="439" bestFit="1" customWidth="1"/>
    <col min="2310" max="2310" width="26.109375" style="439" bestFit="1" customWidth="1"/>
    <col min="2311" max="2312" width="13.77734375" style="439" customWidth="1"/>
    <col min="2313" max="2313" width="0" style="439" hidden="1" customWidth="1"/>
    <col min="2314" max="2314" width="14" style="439" bestFit="1" customWidth="1"/>
    <col min="2315" max="2315" width="26.44140625" style="439" customWidth="1"/>
    <col min="2316" max="2316" width="10.6640625" style="439" customWidth="1"/>
    <col min="2317" max="2317" width="17.88671875" style="439" customWidth="1"/>
    <col min="2318" max="2318" width="14.109375" style="439" bestFit="1" customWidth="1"/>
    <col min="2319" max="2319" width="12.6640625" style="439" customWidth="1"/>
    <col min="2320" max="2320" width="15.6640625" style="439" bestFit="1" customWidth="1"/>
    <col min="2321" max="2321" width="14.109375" style="439" bestFit="1" customWidth="1"/>
    <col min="2322" max="2322" width="8.88671875" style="439"/>
    <col min="2323" max="2323" width="15.88671875" style="439" customWidth="1"/>
    <col min="2324" max="2563" width="8.88671875" style="439"/>
    <col min="2564" max="2564" width="10.109375" style="439" bestFit="1" customWidth="1"/>
    <col min="2565" max="2565" width="11.5546875" style="439" bestFit="1" customWidth="1"/>
    <col min="2566" max="2566" width="26.109375" style="439" bestFit="1" customWidth="1"/>
    <col min="2567" max="2568" width="13.77734375" style="439" customWidth="1"/>
    <col min="2569" max="2569" width="0" style="439" hidden="1" customWidth="1"/>
    <col min="2570" max="2570" width="14" style="439" bestFit="1" customWidth="1"/>
    <col min="2571" max="2571" width="26.44140625" style="439" customWidth="1"/>
    <col min="2572" max="2572" width="10.6640625" style="439" customWidth="1"/>
    <col min="2573" max="2573" width="17.88671875" style="439" customWidth="1"/>
    <col min="2574" max="2574" width="14.109375" style="439" bestFit="1" customWidth="1"/>
    <col min="2575" max="2575" width="12.6640625" style="439" customWidth="1"/>
    <col min="2576" max="2576" width="15.6640625" style="439" bestFit="1" customWidth="1"/>
    <col min="2577" max="2577" width="14.109375" style="439" bestFit="1" customWidth="1"/>
    <col min="2578" max="2578" width="8.88671875" style="439"/>
    <col min="2579" max="2579" width="15.88671875" style="439" customWidth="1"/>
    <col min="2580" max="2819" width="8.88671875" style="439"/>
    <col min="2820" max="2820" width="10.109375" style="439" bestFit="1" customWidth="1"/>
    <col min="2821" max="2821" width="11.5546875" style="439" bestFit="1" customWidth="1"/>
    <col min="2822" max="2822" width="26.109375" style="439" bestFit="1" customWidth="1"/>
    <col min="2823" max="2824" width="13.77734375" style="439" customWidth="1"/>
    <col min="2825" max="2825" width="0" style="439" hidden="1" customWidth="1"/>
    <col min="2826" max="2826" width="14" style="439" bestFit="1" customWidth="1"/>
    <col min="2827" max="2827" width="26.44140625" style="439" customWidth="1"/>
    <col min="2828" max="2828" width="10.6640625" style="439" customWidth="1"/>
    <col min="2829" max="2829" width="17.88671875" style="439" customWidth="1"/>
    <col min="2830" max="2830" width="14.109375" style="439" bestFit="1" customWidth="1"/>
    <col min="2831" max="2831" width="12.6640625" style="439" customWidth="1"/>
    <col min="2832" max="2832" width="15.6640625" style="439" bestFit="1" customWidth="1"/>
    <col min="2833" max="2833" width="14.109375" style="439" bestFit="1" customWidth="1"/>
    <col min="2834" max="2834" width="8.88671875" style="439"/>
    <col min="2835" max="2835" width="15.88671875" style="439" customWidth="1"/>
    <col min="2836" max="3075" width="8.88671875" style="439"/>
    <col min="3076" max="3076" width="10.109375" style="439" bestFit="1" customWidth="1"/>
    <col min="3077" max="3077" width="11.5546875" style="439" bestFit="1" customWidth="1"/>
    <col min="3078" max="3078" width="26.109375" style="439" bestFit="1" customWidth="1"/>
    <col min="3079" max="3080" width="13.77734375" style="439" customWidth="1"/>
    <col min="3081" max="3081" width="0" style="439" hidden="1" customWidth="1"/>
    <col min="3082" max="3082" width="14" style="439" bestFit="1" customWidth="1"/>
    <col min="3083" max="3083" width="26.44140625" style="439" customWidth="1"/>
    <col min="3084" max="3084" width="10.6640625" style="439" customWidth="1"/>
    <col min="3085" max="3085" width="17.88671875" style="439" customWidth="1"/>
    <col min="3086" max="3086" width="14.109375" style="439" bestFit="1" customWidth="1"/>
    <col min="3087" max="3087" width="12.6640625" style="439" customWidth="1"/>
    <col min="3088" max="3088" width="15.6640625" style="439" bestFit="1" customWidth="1"/>
    <col min="3089" max="3089" width="14.109375" style="439" bestFit="1" customWidth="1"/>
    <col min="3090" max="3090" width="8.88671875" style="439"/>
    <col min="3091" max="3091" width="15.88671875" style="439" customWidth="1"/>
    <col min="3092" max="3331" width="8.88671875" style="439"/>
    <col min="3332" max="3332" width="10.109375" style="439" bestFit="1" customWidth="1"/>
    <col min="3333" max="3333" width="11.5546875" style="439" bestFit="1" customWidth="1"/>
    <col min="3334" max="3334" width="26.109375" style="439" bestFit="1" customWidth="1"/>
    <col min="3335" max="3336" width="13.77734375" style="439" customWidth="1"/>
    <col min="3337" max="3337" width="0" style="439" hidden="1" customWidth="1"/>
    <col min="3338" max="3338" width="14" style="439" bestFit="1" customWidth="1"/>
    <col min="3339" max="3339" width="26.44140625" style="439" customWidth="1"/>
    <col min="3340" max="3340" width="10.6640625" style="439" customWidth="1"/>
    <col min="3341" max="3341" width="17.88671875" style="439" customWidth="1"/>
    <col min="3342" max="3342" width="14.109375" style="439" bestFit="1" customWidth="1"/>
    <col min="3343" max="3343" width="12.6640625" style="439" customWidth="1"/>
    <col min="3344" max="3344" width="15.6640625" style="439" bestFit="1" customWidth="1"/>
    <col min="3345" max="3345" width="14.109375" style="439" bestFit="1" customWidth="1"/>
    <col min="3346" max="3346" width="8.88671875" style="439"/>
    <col min="3347" max="3347" width="15.88671875" style="439" customWidth="1"/>
    <col min="3348" max="3587" width="8.88671875" style="439"/>
    <col min="3588" max="3588" width="10.109375" style="439" bestFit="1" customWidth="1"/>
    <col min="3589" max="3589" width="11.5546875" style="439" bestFit="1" customWidth="1"/>
    <col min="3590" max="3590" width="26.109375" style="439" bestFit="1" customWidth="1"/>
    <col min="3591" max="3592" width="13.77734375" style="439" customWidth="1"/>
    <col min="3593" max="3593" width="0" style="439" hidden="1" customWidth="1"/>
    <col min="3594" max="3594" width="14" style="439" bestFit="1" customWidth="1"/>
    <col min="3595" max="3595" width="26.44140625" style="439" customWidth="1"/>
    <col min="3596" max="3596" width="10.6640625" style="439" customWidth="1"/>
    <col min="3597" max="3597" width="17.88671875" style="439" customWidth="1"/>
    <col min="3598" max="3598" width="14.109375" style="439" bestFit="1" customWidth="1"/>
    <col min="3599" max="3599" width="12.6640625" style="439" customWidth="1"/>
    <col min="3600" max="3600" width="15.6640625" style="439" bestFit="1" customWidth="1"/>
    <col min="3601" max="3601" width="14.109375" style="439" bestFit="1" customWidth="1"/>
    <col min="3602" max="3602" width="8.88671875" style="439"/>
    <col min="3603" max="3603" width="15.88671875" style="439" customWidth="1"/>
    <col min="3604" max="3843" width="8.88671875" style="439"/>
    <col min="3844" max="3844" width="10.109375" style="439" bestFit="1" customWidth="1"/>
    <col min="3845" max="3845" width="11.5546875" style="439" bestFit="1" customWidth="1"/>
    <col min="3846" max="3846" width="26.109375" style="439" bestFit="1" customWidth="1"/>
    <col min="3847" max="3848" width="13.77734375" style="439" customWidth="1"/>
    <col min="3849" max="3849" width="0" style="439" hidden="1" customWidth="1"/>
    <col min="3850" max="3850" width="14" style="439" bestFit="1" customWidth="1"/>
    <col min="3851" max="3851" width="26.44140625" style="439" customWidth="1"/>
    <col min="3852" max="3852" width="10.6640625" style="439" customWidth="1"/>
    <col min="3853" max="3853" width="17.88671875" style="439" customWidth="1"/>
    <col min="3854" max="3854" width="14.109375" style="439" bestFit="1" customWidth="1"/>
    <col min="3855" max="3855" width="12.6640625" style="439" customWidth="1"/>
    <col min="3856" max="3856" width="15.6640625" style="439" bestFit="1" customWidth="1"/>
    <col min="3857" max="3857" width="14.109375" style="439" bestFit="1" customWidth="1"/>
    <col min="3858" max="3858" width="8.88671875" style="439"/>
    <col min="3859" max="3859" width="15.88671875" style="439" customWidth="1"/>
    <col min="3860" max="4099" width="8.88671875" style="439"/>
    <col min="4100" max="4100" width="10.109375" style="439" bestFit="1" customWidth="1"/>
    <col min="4101" max="4101" width="11.5546875" style="439" bestFit="1" customWidth="1"/>
    <col min="4102" max="4102" width="26.109375" style="439" bestFit="1" customWidth="1"/>
    <col min="4103" max="4104" width="13.77734375" style="439" customWidth="1"/>
    <col min="4105" max="4105" width="0" style="439" hidden="1" customWidth="1"/>
    <col min="4106" max="4106" width="14" style="439" bestFit="1" customWidth="1"/>
    <col min="4107" max="4107" width="26.44140625" style="439" customWidth="1"/>
    <col min="4108" max="4108" width="10.6640625" style="439" customWidth="1"/>
    <col min="4109" max="4109" width="17.88671875" style="439" customWidth="1"/>
    <col min="4110" max="4110" width="14.109375" style="439" bestFit="1" customWidth="1"/>
    <col min="4111" max="4111" width="12.6640625" style="439" customWidth="1"/>
    <col min="4112" max="4112" width="15.6640625" style="439" bestFit="1" customWidth="1"/>
    <col min="4113" max="4113" width="14.109375" style="439" bestFit="1" customWidth="1"/>
    <col min="4114" max="4114" width="8.88671875" style="439"/>
    <col min="4115" max="4115" width="15.88671875" style="439" customWidth="1"/>
    <col min="4116" max="4355" width="8.88671875" style="439"/>
    <col min="4356" max="4356" width="10.109375" style="439" bestFit="1" customWidth="1"/>
    <col min="4357" max="4357" width="11.5546875" style="439" bestFit="1" customWidth="1"/>
    <col min="4358" max="4358" width="26.109375" style="439" bestFit="1" customWidth="1"/>
    <col min="4359" max="4360" width="13.77734375" style="439" customWidth="1"/>
    <col min="4361" max="4361" width="0" style="439" hidden="1" customWidth="1"/>
    <col min="4362" max="4362" width="14" style="439" bestFit="1" customWidth="1"/>
    <col min="4363" max="4363" width="26.44140625" style="439" customWidth="1"/>
    <col min="4364" max="4364" width="10.6640625" style="439" customWidth="1"/>
    <col min="4365" max="4365" width="17.88671875" style="439" customWidth="1"/>
    <col min="4366" max="4366" width="14.109375" style="439" bestFit="1" customWidth="1"/>
    <col min="4367" max="4367" width="12.6640625" style="439" customWidth="1"/>
    <col min="4368" max="4368" width="15.6640625" style="439" bestFit="1" customWidth="1"/>
    <col min="4369" max="4369" width="14.109375" style="439" bestFit="1" customWidth="1"/>
    <col min="4370" max="4370" width="8.88671875" style="439"/>
    <col min="4371" max="4371" width="15.88671875" style="439" customWidth="1"/>
    <col min="4372" max="4611" width="8.88671875" style="439"/>
    <col min="4612" max="4612" width="10.109375" style="439" bestFit="1" customWidth="1"/>
    <col min="4613" max="4613" width="11.5546875" style="439" bestFit="1" customWidth="1"/>
    <col min="4614" max="4614" width="26.109375" style="439" bestFit="1" customWidth="1"/>
    <col min="4615" max="4616" width="13.77734375" style="439" customWidth="1"/>
    <col min="4617" max="4617" width="0" style="439" hidden="1" customWidth="1"/>
    <col min="4618" max="4618" width="14" style="439" bestFit="1" customWidth="1"/>
    <col min="4619" max="4619" width="26.44140625" style="439" customWidth="1"/>
    <col min="4620" max="4620" width="10.6640625" style="439" customWidth="1"/>
    <col min="4621" max="4621" width="17.88671875" style="439" customWidth="1"/>
    <col min="4622" max="4622" width="14.109375" style="439" bestFit="1" customWidth="1"/>
    <col min="4623" max="4623" width="12.6640625" style="439" customWidth="1"/>
    <col min="4624" max="4624" width="15.6640625" style="439" bestFit="1" customWidth="1"/>
    <col min="4625" max="4625" width="14.109375" style="439" bestFit="1" customWidth="1"/>
    <col min="4626" max="4626" width="8.88671875" style="439"/>
    <col min="4627" max="4627" width="15.88671875" style="439" customWidth="1"/>
    <col min="4628" max="4867" width="8.88671875" style="439"/>
    <col min="4868" max="4868" width="10.109375" style="439" bestFit="1" customWidth="1"/>
    <col min="4869" max="4869" width="11.5546875" style="439" bestFit="1" customWidth="1"/>
    <col min="4870" max="4870" width="26.109375" style="439" bestFit="1" customWidth="1"/>
    <col min="4871" max="4872" width="13.77734375" style="439" customWidth="1"/>
    <col min="4873" max="4873" width="0" style="439" hidden="1" customWidth="1"/>
    <col min="4874" max="4874" width="14" style="439" bestFit="1" customWidth="1"/>
    <col min="4875" max="4875" width="26.44140625" style="439" customWidth="1"/>
    <col min="4876" max="4876" width="10.6640625" style="439" customWidth="1"/>
    <col min="4877" max="4877" width="17.88671875" style="439" customWidth="1"/>
    <col min="4878" max="4878" width="14.109375" style="439" bestFit="1" customWidth="1"/>
    <col min="4879" max="4879" width="12.6640625" style="439" customWidth="1"/>
    <col min="4880" max="4880" width="15.6640625" style="439" bestFit="1" customWidth="1"/>
    <col min="4881" max="4881" width="14.109375" style="439" bestFit="1" customWidth="1"/>
    <col min="4882" max="4882" width="8.88671875" style="439"/>
    <col min="4883" max="4883" width="15.88671875" style="439" customWidth="1"/>
    <col min="4884" max="5123" width="8.88671875" style="439"/>
    <col min="5124" max="5124" width="10.109375" style="439" bestFit="1" customWidth="1"/>
    <col min="5125" max="5125" width="11.5546875" style="439" bestFit="1" customWidth="1"/>
    <col min="5126" max="5126" width="26.109375" style="439" bestFit="1" customWidth="1"/>
    <col min="5127" max="5128" width="13.77734375" style="439" customWidth="1"/>
    <col min="5129" max="5129" width="0" style="439" hidden="1" customWidth="1"/>
    <col min="5130" max="5130" width="14" style="439" bestFit="1" customWidth="1"/>
    <col min="5131" max="5131" width="26.44140625" style="439" customWidth="1"/>
    <col min="5132" max="5132" width="10.6640625" style="439" customWidth="1"/>
    <col min="5133" max="5133" width="17.88671875" style="439" customWidth="1"/>
    <col min="5134" max="5134" width="14.109375" style="439" bestFit="1" customWidth="1"/>
    <col min="5135" max="5135" width="12.6640625" style="439" customWidth="1"/>
    <col min="5136" max="5136" width="15.6640625" style="439" bestFit="1" customWidth="1"/>
    <col min="5137" max="5137" width="14.109375" style="439" bestFit="1" customWidth="1"/>
    <col min="5138" max="5138" width="8.88671875" style="439"/>
    <col min="5139" max="5139" width="15.88671875" style="439" customWidth="1"/>
    <col min="5140" max="5379" width="8.88671875" style="439"/>
    <col min="5380" max="5380" width="10.109375" style="439" bestFit="1" customWidth="1"/>
    <col min="5381" max="5381" width="11.5546875" style="439" bestFit="1" customWidth="1"/>
    <col min="5382" max="5382" width="26.109375" style="439" bestFit="1" customWidth="1"/>
    <col min="5383" max="5384" width="13.77734375" style="439" customWidth="1"/>
    <col min="5385" max="5385" width="0" style="439" hidden="1" customWidth="1"/>
    <col min="5386" max="5386" width="14" style="439" bestFit="1" customWidth="1"/>
    <col min="5387" max="5387" width="26.44140625" style="439" customWidth="1"/>
    <col min="5388" max="5388" width="10.6640625" style="439" customWidth="1"/>
    <col min="5389" max="5389" width="17.88671875" style="439" customWidth="1"/>
    <col min="5390" max="5390" width="14.109375" style="439" bestFit="1" customWidth="1"/>
    <col min="5391" max="5391" width="12.6640625" style="439" customWidth="1"/>
    <col min="5392" max="5392" width="15.6640625" style="439" bestFit="1" customWidth="1"/>
    <col min="5393" max="5393" width="14.109375" style="439" bestFit="1" customWidth="1"/>
    <col min="5394" max="5394" width="8.88671875" style="439"/>
    <col min="5395" max="5395" width="15.88671875" style="439" customWidth="1"/>
    <col min="5396" max="5635" width="8.88671875" style="439"/>
    <col min="5636" max="5636" width="10.109375" style="439" bestFit="1" customWidth="1"/>
    <col min="5637" max="5637" width="11.5546875" style="439" bestFit="1" customWidth="1"/>
    <col min="5638" max="5638" width="26.109375" style="439" bestFit="1" customWidth="1"/>
    <col min="5639" max="5640" width="13.77734375" style="439" customWidth="1"/>
    <col min="5641" max="5641" width="0" style="439" hidden="1" customWidth="1"/>
    <col min="5642" max="5642" width="14" style="439" bestFit="1" customWidth="1"/>
    <col min="5643" max="5643" width="26.44140625" style="439" customWidth="1"/>
    <col min="5644" max="5644" width="10.6640625" style="439" customWidth="1"/>
    <col min="5645" max="5645" width="17.88671875" style="439" customWidth="1"/>
    <col min="5646" max="5646" width="14.109375" style="439" bestFit="1" customWidth="1"/>
    <col min="5647" max="5647" width="12.6640625" style="439" customWidth="1"/>
    <col min="5648" max="5648" width="15.6640625" style="439" bestFit="1" customWidth="1"/>
    <col min="5649" max="5649" width="14.109375" style="439" bestFit="1" customWidth="1"/>
    <col min="5650" max="5650" width="8.88671875" style="439"/>
    <col min="5651" max="5651" width="15.88671875" style="439" customWidth="1"/>
    <col min="5652" max="5891" width="8.88671875" style="439"/>
    <col min="5892" max="5892" width="10.109375" style="439" bestFit="1" customWidth="1"/>
    <col min="5893" max="5893" width="11.5546875" style="439" bestFit="1" customWidth="1"/>
    <col min="5894" max="5894" width="26.109375" style="439" bestFit="1" customWidth="1"/>
    <col min="5895" max="5896" width="13.77734375" style="439" customWidth="1"/>
    <col min="5897" max="5897" width="0" style="439" hidden="1" customWidth="1"/>
    <col min="5898" max="5898" width="14" style="439" bestFit="1" customWidth="1"/>
    <col min="5899" max="5899" width="26.44140625" style="439" customWidth="1"/>
    <col min="5900" max="5900" width="10.6640625" style="439" customWidth="1"/>
    <col min="5901" max="5901" width="17.88671875" style="439" customWidth="1"/>
    <col min="5902" max="5902" width="14.109375" style="439" bestFit="1" customWidth="1"/>
    <col min="5903" max="5903" width="12.6640625" style="439" customWidth="1"/>
    <col min="5904" max="5904" width="15.6640625" style="439" bestFit="1" customWidth="1"/>
    <col min="5905" max="5905" width="14.109375" style="439" bestFit="1" customWidth="1"/>
    <col min="5906" max="5906" width="8.88671875" style="439"/>
    <col min="5907" max="5907" width="15.88671875" style="439" customWidth="1"/>
    <col min="5908" max="6147" width="8.88671875" style="439"/>
    <col min="6148" max="6148" width="10.109375" style="439" bestFit="1" customWidth="1"/>
    <col min="6149" max="6149" width="11.5546875" style="439" bestFit="1" customWidth="1"/>
    <col min="6150" max="6150" width="26.109375" style="439" bestFit="1" customWidth="1"/>
    <col min="6151" max="6152" width="13.77734375" style="439" customWidth="1"/>
    <col min="6153" max="6153" width="0" style="439" hidden="1" customWidth="1"/>
    <col min="6154" max="6154" width="14" style="439" bestFit="1" customWidth="1"/>
    <col min="6155" max="6155" width="26.44140625" style="439" customWidth="1"/>
    <col min="6156" max="6156" width="10.6640625" style="439" customWidth="1"/>
    <col min="6157" max="6157" width="17.88671875" style="439" customWidth="1"/>
    <col min="6158" max="6158" width="14.109375" style="439" bestFit="1" customWidth="1"/>
    <col min="6159" max="6159" width="12.6640625" style="439" customWidth="1"/>
    <col min="6160" max="6160" width="15.6640625" style="439" bestFit="1" customWidth="1"/>
    <col min="6161" max="6161" width="14.109375" style="439" bestFit="1" customWidth="1"/>
    <col min="6162" max="6162" width="8.88671875" style="439"/>
    <col min="6163" max="6163" width="15.88671875" style="439" customWidth="1"/>
    <col min="6164" max="6403" width="8.88671875" style="439"/>
    <col min="6404" max="6404" width="10.109375" style="439" bestFit="1" customWidth="1"/>
    <col min="6405" max="6405" width="11.5546875" style="439" bestFit="1" customWidth="1"/>
    <col min="6406" max="6406" width="26.109375" style="439" bestFit="1" customWidth="1"/>
    <col min="6407" max="6408" width="13.77734375" style="439" customWidth="1"/>
    <col min="6409" max="6409" width="0" style="439" hidden="1" customWidth="1"/>
    <col min="6410" max="6410" width="14" style="439" bestFit="1" customWidth="1"/>
    <col min="6411" max="6411" width="26.44140625" style="439" customWidth="1"/>
    <col min="6412" max="6412" width="10.6640625" style="439" customWidth="1"/>
    <col min="6413" max="6413" width="17.88671875" style="439" customWidth="1"/>
    <col min="6414" max="6414" width="14.109375" style="439" bestFit="1" customWidth="1"/>
    <col min="6415" max="6415" width="12.6640625" style="439" customWidth="1"/>
    <col min="6416" max="6416" width="15.6640625" style="439" bestFit="1" customWidth="1"/>
    <col min="6417" max="6417" width="14.109375" style="439" bestFit="1" customWidth="1"/>
    <col min="6418" max="6418" width="8.88671875" style="439"/>
    <col min="6419" max="6419" width="15.88671875" style="439" customWidth="1"/>
    <col min="6420" max="6659" width="8.88671875" style="439"/>
    <col min="6660" max="6660" width="10.109375" style="439" bestFit="1" customWidth="1"/>
    <col min="6661" max="6661" width="11.5546875" style="439" bestFit="1" customWidth="1"/>
    <col min="6662" max="6662" width="26.109375" style="439" bestFit="1" customWidth="1"/>
    <col min="6663" max="6664" width="13.77734375" style="439" customWidth="1"/>
    <col min="6665" max="6665" width="0" style="439" hidden="1" customWidth="1"/>
    <col min="6666" max="6666" width="14" style="439" bestFit="1" customWidth="1"/>
    <col min="6667" max="6667" width="26.44140625" style="439" customWidth="1"/>
    <col min="6668" max="6668" width="10.6640625" style="439" customWidth="1"/>
    <col min="6669" max="6669" width="17.88671875" style="439" customWidth="1"/>
    <col min="6670" max="6670" width="14.109375" style="439" bestFit="1" customWidth="1"/>
    <col min="6671" max="6671" width="12.6640625" style="439" customWidth="1"/>
    <col min="6672" max="6672" width="15.6640625" style="439" bestFit="1" customWidth="1"/>
    <col min="6673" max="6673" width="14.109375" style="439" bestFit="1" customWidth="1"/>
    <col min="6674" max="6674" width="8.88671875" style="439"/>
    <col min="6675" max="6675" width="15.88671875" style="439" customWidth="1"/>
    <col min="6676" max="6915" width="8.88671875" style="439"/>
    <col min="6916" max="6916" width="10.109375" style="439" bestFit="1" customWidth="1"/>
    <col min="6917" max="6917" width="11.5546875" style="439" bestFit="1" customWidth="1"/>
    <col min="6918" max="6918" width="26.109375" style="439" bestFit="1" customWidth="1"/>
    <col min="6919" max="6920" width="13.77734375" style="439" customWidth="1"/>
    <col min="6921" max="6921" width="0" style="439" hidden="1" customWidth="1"/>
    <col min="6922" max="6922" width="14" style="439" bestFit="1" customWidth="1"/>
    <col min="6923" max="6923" width="26.44140625" style="439" customWidth="1"/>
    <col min="6924" max="6924" width="10.6640625" style="439" customWidth="1"/>
    <col min="6925" max="6925" width="17.88671875" style="439" customWidth="1"/>
    <col min="6926" max="6926" width="14.109375" style="439" bestFit="1" customWidth="1"/>
    <col min="6927" max="6927" width="12.6640625" style="439" customWidth="1"/>
    <col min="6928" max="6928" width="15.6640625" style="439" bestFit="1" customWidth="1"/>
    <col min="6929" max="6929" width="14.109375" style="439" bestFit="1" customWidth="1"/>
    <col min="6930" max="6930" width="8.88671875" style="439"/>
    <col min="6931" max="6931" width="15.88671875" style="439" customWidth="1"/>
    <col min="6932" max="7171" width="8.88671875" style="439"/>
    <col min="7172" max="7172" width="10.109375" style="439" bestFit="1" customWidth="1"/>
    <col min="7173" max="7173" width="11.5546875" style="439" bestFit="1" customWidth="1"/>
    <col min="7174" max="7174" width="26.109375" style="439" bestFit="1" customWidth="1"/>
    <col min="7175" max="7176" width="13.77734375" style="439" customWidth="1"/>
    <col min="7177" max="7177" width="0" style="439" hidden="1" customWidth="1"/>
    <col min="7178" max="7178" width="14" style="439" bestFit="1" customWidth="1"/>
    <col min="7179" max="7179" width="26.44140625" style="439" customWidth="1"/>
    <col min="7180" max="7180" width="10.6640625" style="439" customWidth="1"/>
    <col min="7181" max="7181" width="17.88671875" style="439" customWidth="1"/>
    <col min="7182" max="7182" width="14.109375" style="439" bestFit="1" customWidth="1"/>
    <col min="7183" max="7183" width="12.6640625" style="439" customWidth="1"/>
    <col min="7184" max="7184" width="15.6640625" style="439" bestFit="1" customWidth="1"/>
    <col min="7185" max="7185" width="14.109375" style="439" bestFit="1" customWidth="1"/>
    <col min="7186" max="7186" width="8.88671875" style="439"/>
    <col min="7187" max="7187" width="15.88671875" style="439" customWidth="1"/>
    <col min="7188" max="7427" width="8.88671875" style="439"/>
    <col min="7428" max="7428" width="10.109375" style="439" bestFit="1" customWidth="1"/>
    <col min="7429" max="7429" width="11.5546875" style="439" bestFit="1" customWidth="1"/>
    <col min="7430" max="7430" width="26.109375" style="439" bestFit="1" customWidth="1"/>
    <col min="7431" max="7432" width="13.77734375" style="439" customWidth="1"/>
    <col min="7433" max="7433" width="0" style="439" hidden="1" customWidth="1"/>
    <col min="7434" max="7434" width="14" style="439" bestFit="1" customWidth="1"/>
    <col min="7435" max="7435" width="26.44140625" style="439" customWidth="1"/>
    <col min="7436" max="7436" width="10.6640625" style="439" customWidth="1"/>
    <col min="7437" max="7437" width="17.88671875" style="439" customWidth="1"/>
    <col min="7438" max="7438" width="14.109375" style="439" bestFit="1" customWidth="1"/>
    <col min="7439" max="7439" width="12.6640625" style="439" customWidth="1"/>
    <col min="7440" max="7440" width="15.6640625" style="439" bestFit="1" customWidth="1"/>
    <col min="7441" max="7441" width="14.109375" style="439" bestFit="1" customWidth="1"/>
    <col min="7442" max="7442" width="8.88671875" style="439"/>
    <col min="7443" max="7443" width="15.88671875" style="439" customWidth="1"/>
    <col min="7444" max="7683" width="8.88671875" style="439"/>
    <col min="7684" max="7684" width="10.109375" style="439" bestFit="1" customWidth="1"/>
    <col min="7685" max="7685" width="11.5546875" style="439" bestFit="1" customWidth="1"/>
    <col min="7686" max="7686" width="26.109375" style="439" bestFit="1" customWidth="1"/>
    <col min="7687" max="7688" width="13.77734375" style="439" customWidth="1"/>
    <col min="7689" max="7689" width="0" style="439" hidden="1" customWidth="1"/>
    <col min="7690" max="7690" width="14" style="439" bestFit="1" customWidth="1"/>
    <col min="7691" max="7691" width="26.44140625" style="439" customWidth="1"/>
    <col min="7692" max="7692" width="10.6640625" style="439" customWidth="1"/>
    <col min="7693" max="7693" width="17.88671875" style="439" customWidth="1"/>
    <col min="7694" max="7694" width="14.109375" style="439" bestFit="1" customWidth="1"/>
    <col min="7695" max="7695" width="12.6640625" style="439" customWidth="1"/>
    <col min="7696" max="7696" width="15.6640625" style="439" bestFit="1" customWidth="1"/>
    <col min="7697" max="7697" width="14.109375" style="439" bestFit="1" customWidth="1"/>
    <col min="7698" max="7698" width="8.88671875" style="439"/>
    <col min="7699" max="7699" width="15.88671875" style="439" customWidth="1"/>
    <col min="7700" max="7939" width="8.88671875" style="439"/>
    <col min="7940" max="7940" width="10.109375" style="439" bestFit="1" customWidth="1"/>
    <col min="7941" max="7941" width="11.5546875" style="439" bestFit="1" customWidth="1"/>
    <col min="7942" max="7942" width="26.109375" style="439" bestFit="1" customWidth="1"/>
    <col min="7943" max="7944" width="13.77734375" style="439" customWidth="1"/>
    <col min="7945" max="7945" width="0" style="439" hidden="1" customWidth="1"/>
    <col min="7946" max="7946" width="14" style="439" bestFit="1" customWidth="1"/>
    <col min="7947" max="7947" width="26.44140625" style="439" customWidth="1"/>
    <col min="7948" max="7948" width="10.6640625" style="439" customWidth="1"/>
    <col min="7949" max="7949" width="17.88671875" style="439" customWidth="1"/>
    <col min="7950" max="7950" width="14.109375" style="439" bestFit="1" customWidth="1"/>
    <col min="7951" max="7951" width="12.6640625" style="439" customWidth="1"/>
    <col min="7952" max="7952" width="15.6640625" style="439" bestFit="1" customWidth="1"/>
    <col min="7953" max="7953" width="14.109375" style="439" bestFit="1" customWidth="1"/>
    <col min="7954" max="7954" width="8.88671875" style="439"/>
    <col min="7955" max="7955" width="15.88671875" style="439" customWidth="1"/>
    <col min="7956" max="8195" width="8.88671875" style="439"/>
    <col min="8196" max="8196" width="10.109375" style="439" bestFit="1" customWidth="1"/>
    <col min="8197" max="8197" width="11.5546875" style="439" bestFit="1" customWidth="1"/>
    <col min="8198" max="8198" width="26.109375" style="439" bestFit="1" customWidth="1"/>
    <col min="8199" max="8200" width="13.77734375" style="439" customWidth="1"/>
    <col min="8201" max="8201" width="0" style="439" hidden="1" customWidth="1"/>
    <col min="8202" max="8202" width="14" style="439" bestFit="1" customWidth="1"/>
    <col min="8203" max="8203" width="26.44140625" style="439" customWidth="1"/>
    <col min="8204" max="8204" width="10.6640625" style="439" customWidth="1"/>
    <col min="8205" max="8205" width="17.88671875" style="439" customWidth="1"/>
    <col min="8206" max="8206" width="14.109375" style="439" bestFit="1" customWidth="1"/>
    <col min="8207" max="8207" width="12.6640625" style="439" customWidth="1"/>
    <col min="8208" max="8208" width="15.6640625" style="439" bestFit="1" customWidth="1"/>
    <col min="8209" max="8209" width="14.109375" style="439" bestFit="1" customWidth="1"/>
    <col min="8210" max="8210" width="8.88671875" style="439"/>
    <col min="8211" max="8211" width="15.88671875" style="439" customWidth="1"/>
    <col min="8212" max="8451" width="8.88671875" style="439"/>
    <col min="8452" max="8452" width="10.109375" style="439" bestFit="1" customWidth="1"/>
    <col min="8453" max="8453" width="11.5546875" style="439" bestFit="1" customWidth="1"/>
    <col min="8454" max="8454" width="26.109375" style="439" bestFit="1" customWidth="1"/>
    <col min="8455" max="8456" width="13.77734375" style="439" customWidth="1"/>
    <col min="8457" max="8457" width="0" style="439" hidden="1" customWidth="1"/>
    <col min="8458" max="8458" width="14" style="439" bestFit="1" customWidth="1"/>
    <col min="8459" max="8459" width="26.44140625" style="439" customWidth="1"/>
    <col min="8460" max="8460" width="10.6640625" style="439" customWidth="1"/>
    <col min="8461" max="8461" width="17.88671875" style="439" customWidth="1"/>
    <col min="8462" max="8462" width="14.109375" style="439" bestFit="1" customWidth="1"/>
    <col min="8463" max="8463" width="12.6640625" style="439" customWidth="1"/>
    <col min="8464" max="8464" width="15.6640625" style="439" bestFit="1" customWidth="1"/>
    <col min="8465" max="8465" width="14.109375" style="439" bestFit="1" customWidth="1"/>
    <col min="8466" max="8466" width="8.88671875" style="439"/>
    <col min="8467" max="8467" width="15.88671875" style="439" customWidth="1"/>
    <col min="8468" max="8707" width="8.88671875" style="439"/>
    <col min="8708" max="8708" width="10.109375" style="439" bestFit="1" customWidth="1"/>
    <col min="8709" max="8709" width="11.5546875" style="439" bestFit="1" customWidth="1"/>
    <col min="8710" max="8710" width="26.109375" style="439" bestFit="1" customWidth="1"/>
    <col min="8711" max="8712" width="13.77734375" style="439" customWidth="1"/>
    <col min="8713" max="8713" width="0" style="439" hidden="1" customWidth="1"/>
    <col min="8714" max="8714" width="14" style="439" bestFit="1" customWidth="1"/>
    <col min="8715" max="8715" width="26.44140625" style="439" customWidth="1"/>
    <col min="8716" max="8716" width="10.6640625" style="439" customWidth="1"/>
    <col min="8717" max="8717" width="17.88671875" style="439" customWidth="1"/>
    <col min="8718" max="8718" width="14.109375" style="439" bestFit="1" customWidth="1"/>
    <col min="8719" max="8719" width="12.6640625" style="439" customWidth="1"/>
    <col min="8720" max="8720" width="15.6640625" style="439" bestFit="1" customWidth="1"/>
    <col min="8721" max="8721" width="14.109375" style="439" bestFit="1" customWidth="1"/>
    <col min="8722" max="8722" width="8.88671875" style="439"/>
    <col min="8723" max="8723" width="15.88671875" style="439" customWidth="1"/>
    <col min="8724" max="8963" width="8.88671875" style="439"/>
    <col min="8964" max="8964" width="10.109375" style="439" bestFit="1" customWidth="1"/>
    <col min="8965" max="8965" width="11.5546875" style="439" bestFit="1" customWidth="1"/>
    <col min="8966" max="8966" width="26.109375" style="439" bestFit="1" customWidth="1"/>
    <col min="8967" max="8968" width="13.77734375" style="439" customWidth="1"/>
    <col min="8969" max="8969" width="0" style="439" hidden="1" customWidth="1"/>
    <col min="8970" max="8970" width="14" style="439" bestFit="1" customWidth="1"/>
    <col min="8971" max="8971" width="26.44140625" style="439" customWidth="1"/>
    <col min="8972" max="8972" width="10.6640625" style="439" customWidth="1"/>
    <col min="8973" max="8973" width="17.88671875" style="439" customWidth="1"/>
    <col min="8974" max="8974" width="14.109375" style="439" bestFit="1" customWidth="1"/>
    <col min="8975" max="8975" width="12.6640625" style="439" customWidth="1"/>
    <col min="8976" max="8976" width="15.6640625" style="439" bestFit="1" customWidth="1"/>
    <col min="8977" max="8977" width="14.109375" style="439" bestFit="1" customWidth="1"/>
    <col min="8978" max="8978" width="8.88671875" style="439"/>
    <col min="8979" max="8979" width="15.88671875" style="439" customWidth="1"/>
    <col min="8980" max="9219" width="8.88671875" style="439"/>
    <col min="9220" max="9220" width="10.109375" style="439" bestFit="1" customWidth="1"/>
    <col min="9221" max="9221" width="11.5546875" style="439" bestFit="1" customWidth="1"/>
    <col min="9222" max="9222" width="26.109375" style="439" bestFit="1" customWidth="1"/>
    <col min="9223" max="9224" width="13.77734375" style="439" customWidth="1"/>
    <col min="9225" max="9225" width="0" style="439" hidden="1" customWidth="1"/>
    <col min="9226" max="9226" width="14" style="439" bestFit="1" customWidth="1"/>
    <col min="9227" max="9227" width="26.44140625" style="439" customWidth="1"/>
    <col min="9228" max="9228" width="10.6640625" style="439" customWidth="1"/>
    <col min="9229" max="9229" width="17.88671875" style="439" customWidth="1"/>
    <col min="9230" max="9230" width="14.109375" style="439" bestFit="1" customWidth="1"/>
    <col min="9231" max="9231" width="12.6640625" style="439" customWidth="1"/>
    <col min="9232" max="9232" width="15.6640625" style="439" bestFit="1" customWidth="1"/>
    <col min="9233" max="9233" width="14.109375" style="439" bestFit="1" customWidth="1"/>
    <col min="9234" max="9234" width="8.88671875" style="439"/>
    <col min="9235" max="9235" width="15.88671875" style="439" customWidth="1"/>
    <col min="9236" max="9475" width="8.88671875" style="439"/>
    <col min="9476" max="9476" width="10.109375" style="439" bestFit="1" customWidth="1"/>
    <col min="9477" max="9477" width="11.5546875" style="439" bestFit="1" customWidth="1"/>
    <col min="9478" max="9478" width="26.109375" style="439" bestFit="1" customWidth="1"/>
    <col min="9479" max="9480" width="13.77734375" style="439" customWidth="1"/>
    <col min="9481" max="9481" width="0" style="439" hidden="1" customWidth="1"/>
    <col min="9482" max="9482" width="14" style="439" bestFit="1" customWidth="1"/>
    <col min="9483" max="9483" width="26.44140625" style="439" customWidth="1"/>
    <col min="9484" max="9484" width="10.6640625" style="439" customWidth="1"/>
    <col min="9485" max="9485" width="17.88671875" style="439" customWidth="1"/>
    <col min="9486" max="9486" width="14.109375" style="439" bestFit="1" customWidth="1"/>
    <col min="9487" max="9487" width="12.6640625" style="439" customWidth="1"/>
    <col min="9488" max="9488" width="15.6640625" style="439" bestFit="1" customWidth="1"/>
    <col min="9489" max="9489" width="14.109375" style="439" bestFit="1" customWidth="1"/>
    <col min="9490" max="9490" width="8.88671875" style="439"/>
    <col min="9491" max="9491" width="15.88671875" style="439" customWidth="1"/>
    <col min="9492" max="9731" width="8.88671875" style="439"/>
    <col min="9732" max="9732" width="10.109375" style="439" bestFit="1" customWidth="1"/>
    <col min="9733" max="9733" width="11.5546875" style="439" bestFit="1" customWidth="1"/>
    <col min="9734" max="9734" width="26.109375" style="439" bestFit="1" customWidth="1"/>
    <col min="9735" max="9736" width="13.77734375" style="439" customWidth="1"/>
    <col min="9737" max="9737" width="0" style="439" hidden="1" customWidth="1"/>
    <col min="9738" max="9738" width="14" style="439" bestFit="1" customWidth="1"/>
    <col min="9739" max="9739" width="26.44140625" style="439" customWidth="1"/>
    <col min="9740" max="9740" width="10.6640625" style="439" customWidth="1"/>
    <col min="9741" max="9741" width="17.88671875" style="439" customWidth="1"/>
    <col min="9742" max="9742" width="14.109375" style="439" bestFit="1" customWidth="1"/>
    <col min="9743" max="9743" width="12.6640625" style="439" customWidth="1"/>
    <col min="9744" max="9744" width="15.6640625" style="439" bestFit="1" customWidth="1"/>
    <col min="9745" max="9745" width="14.109375" style="439" bestFit="1" customWidth="1"/>
    <col min="9746" max="9746" width="8.88671875" style="439"/>
    <col min="9747" max="9747" width="15.88671875" style="439" customWidth="1"/>
    <col min="9748" max="9987" width="8.88671875" style="439"/>
    <col min="9988" max="9988" width="10.109375" style="439" bestFit="1" customWidth="1"/>
    <col min="9989" max="9989" width="11.5546875" style="439" bestFit="1" customWidth="1"/>
    <col min="9990" max="9990" width="26.109375" style="439" bestFit="1" customWidth="1"/>
    <col min="9991" max="9992" width="13.77734375" style="439" customWidth="1"/>
    <col min="9993" max="9993" width="0" style="439" hidden="1" customWidth="1"/>
    <col min="9994" max="9994" width="14" style="439" bestFit="1" customWidth="1"/>
    <col min="9995" max="9995" width="26.44140625" style="439" customWidth="1"/>
    <col min="9996" max="9996" width="10.6640625" style="439" customWidth="1"/>
    <col min="9997" max="9997" width="17.88671875" style="439" customWidth="1"/>
    <col min="9998" max="9998" width="14.109375" style="439" bestFit="1" customWidth="1"/>
    <col min="9999" max="9999" width="12.6640625" style="439" customWidth="1"/>
    <col min="10000" max="10000" width="15.6640625" style="439" bestFit="1" customWidth="1"/>
    <col min="10001" max="10001" width="14.109375" style="439" bestFit="1" customWidth="1"/>
    <col min="10002" max="10002" width="8.88671875" style="439"/>
    <col min="10003" max="10003" width="15.88671875" style="439" customWidth="1"/>
    <col min="10004" max="10243" width="8.88671875" style="439"/>
    <col min="10244" max="10244" width="10.109375" style="439" bestFit="1" customWidth="1"/>
    <col min="10245" max="10245" width="11.5546875" style="439" bestFit="1" customWidth="1"/>
    <col min="10246" max="10246" width="26.109375" style="439" bestFit="1" customWidth="1"/>
    <col min="10247" max="10248" width="13.77734375" style="439" customWidth="1"/>
    <col min="10249" max="10249" width="0" style="439" hidden="1" customWidth="1"/>
    <col min="10250" max="10250" width="14" style="439" bestFit="1" customWidth="1"/>
    <col min="10251" max="10251" width="26.44140625" style="439" customWidth="1"/>
    <col min="10252" max="10252" width="10.6640625" style="439" customWidth="1"/>
    <col min="10253" max="10253" width="17.88671875" style="439" customWidth="1"/>
    <col min="10254" max="10254" width="14.109375" style="439" bestFit="1" customWidth="1"/>
    <col min="10255" max="10255" width="12.6640625" style="439" customWidth="1"/>
    <col min="10256" max="10256" width="15.6640625" style="439" bestFit="1" customWidth="1"/>
    <col min="10257" max="10257" width="14.109375" style="439" bestFit="1" customWidth="1"/>
    <col min="10258" max="10258" width="8.88671875" style="439"/>
    <col min="10259" max="10259" width="15.88671875" style="439" customWidth="1"/>
    <col min="10260" max="10499" width="8.88671875" style="439"/>
    <col min="10500" max="10500" width="10.109375" style="439" bestFit="1" customWidth="1"/>
    <col min="10501" max="10501" width="11.5546875" style="439" bestFit="1" customWidth="1"/>
    <col min="10502" max="10502" width="26.109375" style="439" bestFit="1" customWidth="1"/>
    <col min="10503" max="10504" width="13.77734375" style="439" customWidth="1"/>
    <col min="10505" max="10505" width="0" style="439" hidden="1" customWidth="1"/>
    <col min="10506" max="10506" width="14" style="439" bestFit="1" customWidth="1"/>
    <col min="10507" max="10507" width="26.44140625" style="439" customWidth="1"/>
    <col min="10508" max="10508" width="10.6640625" style="439" customWidth="1"/>
    <col min="10509" max="10509" width="17.88671875" style="439" customWidth="1"/>
    <col min="10510" max="10510" width="14.109375" style="439" bestFit="1" customWidth="1"/>
    <col min="10511" max="10511" width="12.6640625" style="439" customWidth="1"/>
    <col min="10512" max="10512" width="15.6640625" style="439" bestFit="1" customWidth="1"/>
    <col min="10513" max="10513" width="14.109375" style="439" bestFit="1" customWidth="1"/>
    <col min="10514" max="10514" width="8.88671875" style="439"/>
    <col min="10515" max="10515" width="15.88671875" style="439" customWidth="1"/>
    <col min="10516" max="10755" width="8.88671875" style="439"/>
    <col min="10756" max="10756" width="10.109375" style="439" bestFit="1" customWidth="1"/>
    <col min="10757" max="10757" width="11.5546875" style="439" bestFit="1" customWidth="1"/>
    <col min="10758" max="10758" width="26.109375" style="439" bestFit="1" customWidth="1"/>
    <col min="10759" max="10760" width="13.77734375" style="439" customWidth="1"/>
    <col min="10761" max="10761" width="0" style="439" hidden="1" customWidth="1"/>
    <col min="10762" max="10762" width="14" style="439" bestFit="1" customWidth="1"/>
    <col min="10763" max="10763" width="26.44140625" style="439" customWidth="1"/>
    <col min="10764" max="10764" width="10.6640625" style="439" customWidth="1"/>
    <col min="10765" max="10765" width="17.88671875" style="439" customWidth="1"/>
    <col min="10766" max="10766" width="14.109375" style="439" bestFit="1" customWidth="1"/>
    <col min="10767" max="10767" width="12.6640625" style="439" customWidth="1"/>
    <col min="10768" max="10768" width="15.6640625" style="439" bestFit="1" customWidth="1"/>
    <col min="10769" max="10769" width="14.109375" style="439" bestFit="1" customWidth="1"/>
    <col min="10770" max="10770" width="8.88671875" style="439"/>
    <col min="10771" max="10771" width="15.88671875" style="439" customWidth="1"/>
    <col min="10772" max="11011" width="8.88671875" style="439"/>
    <col min="11012" max="11012" width="10.109375" style="439" bestFit="1" customWidth="1"/>
    <col min="11013" max="11013" width="11.5546875" style="439" bestFit="1" customWidth="1"/>
    <col min="11014" max="11014" width="26.109375" style="439" bestFit="1" customWidth="1"/>
    <col min="11015" max="11016" width="13.77734375" style="439" customWidth="1"/>
    <col min="11017" max="11017" width="0" style="439" hidden="1" customWidth="1"/>
    <col min="11018" max="11018" width="14" style="439" bestFit="1" customWidth="1"/>
    <col min="11019" max="11019" width="26.44140625" style="439" customWidth="1"/>
    <col min="11020" max="11020" width="10.6640625" style="439" customWidth="1"/>
    <col min="11021" max="11021" width="17.88671875" style="439" customWidth="1"/>
    <col min="11022" max="11022" width="14.109375" style="439" bestFit="1" customWidth="1"/>
    <col min="11023" max="11023" width="12.6640625" style="439" customWidth="1"/>
    <col min="11024" max="11024" width="15.6640625" style="439" bestFit="1" customWidth="1"/>
    <col min="11025" max="11025" width="14.109375" style="439" bestFit="1" customWidth="1"/>
    <col min="11026" max="11026" width="8.88671875" style="439"/>
    <col min="11027" max="11027" width="15.88671875" style="439" customWidth="1"/>
    <col min="11028" max="11267" width="8.88671875" style="439"/>
    <col min="11268" max="11268" width="10.109375" style="439" bestFit="1" customWidth="1"/>
    <col min="11269" max="11269" width="11.5546875" style="439" bestFit="1" customWidth="1"/>
    <col min="11270" max="11270" width="26.109375" style="439" bestFit="1" customWidth="1"/>
    <col min="11271" max="11272" width="13.77734375" style="439" customWidth="1"/>
    <col min="11273" max="11273" width="0" style="439" hidden="1" customWidth="1"/>
    <col min="11274" max="11274" width="14" style="439" bestFit="1" customWidth="1"/>
    <col min="11275" max="11275" width="26.44140625" style="439" customWidth="1"/>
    <col min="11276" max="11276" width="10.6640625" style="439" customWidth="1"/>
    <col min="11277" max="11277" width="17.88671875" style="439" customWidth="1"/>
    <col min="11278" max="11278" width="14.109375" style="439" bestFit="1" customWidth="1"/>
    <col min="11279" max="11279" width="12.6640625" style="439" customWidth="1"/>
    <col min="11280" max="11280" width="15.6640625" style="439" bestFit="1" customWidth="1"/>
    <col min="11281" max="11281" width="14.109375" style="439" bestFit="1" customWidth="1"/>
    <col min="11282" max="11282" width="8.88671875" style="439"/>
    <col min="11283" max="11283" width="15.88671875" style="439" customWidth="1"/>
    <col min="11284" max="11523" width="8.88671875" style="439"/>
    <col min="11524" max="11524" width="10.109375" style="439" bestFit="1" customWidth="1"/>
    <col min="11525" max="11525" width="11.5546875" style="439" bestFit="1" customWidth="1"/>
    <col min="11526" max="11526" width="26.109375" style="439" bestFit="1" customWidth="1"/>
    <col min="11527" max="11528" width="13.77734375" style="439" customWidth="1"/>
    <col min="11529" max="11529" width="0" style="439" hidden="1" customWidth="1"/>
    <col min="11530" max="11530" width="14" style="439" bestFit="1" customWidth="1"/>
    <col min="11531" max="11531" width="26.44140625" style="439" customWidth="1"/>
    <col min="11532" max="11532" width="10.6640625" style="439" customWidth="1"/>
    <col min="11533" max="11533" width="17.88671875" style="439" customWidth="1"/>
    <col min="11534" max="11534" width="14.109375" style="439" bestFit="1" customWidth="1"/>
    <col min="11535" max="11535" width="12.6640625" style="439" customWidth="1"/>
    <col min="11536" max="11536" width="15.6640625" style="439" bestFit="1" customWidth="1"/>
    <col min="11537" max="11537" width="14.109375" style="439" bestFit="1" customWidth="1"/>
    <col min="11538" max="11538" width="8.88671875" style="439"/>
    <col min="11539" max="11539" width="15.88671875" style="439" customWidth="1"/>
    <col min="11540" max="11779" width="8.88671875" style="439"/>
    <col min="11780" max="11780" width="10.109375" style="439" bestFit="1" customWidth="1"/>
    <col min="11781" max="11781" width="11.5546875" style="439" bestFit="1" customWidth="1"/>
    <col min="11782" max="11782" width="26.109375" style="439" bestFit="1" customWidth="1"/>
    <col min="11783" max="11784" width="13.77734375" style="439" customWidth="1"/>
    <col min="11785" max="11785" width="0" style="439" hidden="1" customWidth="1"/>
    <col min="11786" max="11786" width="14" style="439" bestFit="1" customWidth="1"/>
    <col min="11787" max="11787" width="26.44140625" style="439" customWidth="1"/>
    <col min="11788" max="11788" width="10.6640625" style="439" customWidth="1"/>
    <col min="11789" max="11789" width="17.88671875" style="439" customWidth="1"/>
    <col min="11790" max="11790" width="14.109375" style="439" bestFit="1" customWidth="1"/>
    <col min="11791" max="11791" width="12.6640625" style="439" customWidth="1"/>
    <col min="11792" max="11792" width="15.6640625" style="439" bestFit="1" customWidth="1"/>
    <col min="11793" max="11793" width="14.109375" style="439" bestFit="1" customWidth="1"/>
    <col min="11794" max="11794" width="8.88671875" style="439"/>
    <col min="11795" max="11795" width="15.88671875" style="439" customWidth="1"/>
    <col min="11796" max="12035" width="8.88671875" style="439"/>
    <col min="12036" max="12036" width="10.109375" style="439" bestFit="1" customWidth="1"/>
    <col min="12037" max="12037" width="11.5546875" style="439" bestFit="1" customWidth="1"/>
    <col min="12038" max="12038" width="26.109375" style="439" bestFit="1" customWidth="1"/>
    <col min="12039" max="12040" width="13.77734375" style="439" customWidth="1"/>
    <col min="12041" max="12041" width="0" style="439" hidden="1" customWidth="1"/>
    <col min="12042" max="12042" width="14" style="439" bestFit="1" customWidth="1"/>
    <col min="12043" max="12043" width="26.44140625" style="439" customWidth="1"/>
    <col min="12044" max="12044" width="10.6640625" style="439" customWidth="1"/>
    <col min="12045" max="12045" width="17.88671875" style="439" customWidth="1"/>
    <col min="12046" max="12046" width="14.109375" style="439" bestFit="1" customWidth="1"/>
    <col min="12047" max="12047" width="12.6640625" style="439" customWidth="1"/>
    <col min="12048" max="12048" width="15.6640625" style="439" bestFit="1" customWidth="1"/>
    <col min="12049" max="12049" width="14.109375" style="439" bestFit="1" customWidth="1"/>
    <col min="12050" max="12050" width="8.88671875" style="439"/>
    <col min="12051" max="12051" width="15.88671875" style="439" customWidth="1"/>
    <col min="12052" max="12291" width="8.88671875" style="439"/>
    <col min="12292" max="12292" width="10.109375" style="439" bestFit="1" customWidth="1"/>
    <col min="12293" max="12293" width="11.5546875" style="439" bestFit="1" customWidth="1"/>
    <col min="12294" max="12294" width="26.109375" style="439" bestFit="1" customWidth="1"/>
    <col min="12295" max="12296" width="13.77734375" style="439" customWidth="1"/>
    <col min="12297" max="12297" width="0" style="439" hidden="1" customWidth="1"/>
    <col min="12298" max="12298" width="14" style="439" bestFit="1" customWidth="1"/>
    <col min="12299" max="12299" width="26.44140625" style="439" customWidth="1"/>
    <col min="12300" max="12300" width="10.6640625" style="439" customWidth="1"/>
    <col min="12301" max="12301" width="17.88671875" style="439" customWidth="1"/>
    <col min="12302" max="12302" width="14.109375" style="439" bestFit="1" customWidth="1"/>
    <col min="12303" max="12303" width="12.6640625" style="439" customWidth="1"/>
    <col min="12304" max="12304" width="15.6640625" style="439" bestFit="1" customWidth="1"/>
    <col min="12305" max="12305" width="14.109375" style="439" bestFit="1" customWidth="1"/>
    <col min="12306" max="12306" width="8.88671875" style="439"/>
    <col min="12307" max="12307" width="15.88671875" style="439" customWidth="1"/>
    <col min="12308" max="12547" width="8.88671875" style="439"/>
    <col min="12548" max="12548" width="10.109375" style="439" bestFit="1" customWidth="1"/>
    <col min="12549" max="12549" width="11.5546875" style="439" bestFit="1" customWidth="1"/>
    <col min="12550" max="12550" width="26.109375" style="439" bestFit="1" customWidth="1"/>
    <col min="12551" max="12552" width="13.77734375" style="439" customWidth="1"/>
    <col min="12553" max="12553" width="0" style="439" hidden="1" customWidth="1"/>
    <col min="12554" max="12554" width="14" style="439" bestFit="1" customWidth="1"/>
    <col min="12555" max="12555" width="26.44140625" style="439" customWidth="1"/>
    <col min="12556" max="12556" width="10.6640625" style="439" customWidth="1"/>
    <col min="12557" max="12557" width="17.88671875" style="439" customWidth="1"/>
    <col min="12558" max="12558" width="14.109375" style="439" bestFit="1" customWidth="1"/>
    <col min="12559" max="12559" width="12.6640625" style="439" customWidth="1"/>
    <col min="12560" max="12560" width="15.6640625" style="439" bestFit="1" customWidth="1"/>
    <col min="12561" max="12561" width="14.109375" style="439" bestFit="1" customWidth="1"/>
    <col min="12562" max="12562" width="8.88671875" style="439"/>
    <col min="12563" max="12563" width="15.88671875" style="439" customWidth="1"/>
    <col min="12564" max="12803" width="8.88671875" style="439"/>
    <col min="12804" max="12804" width="10.109375" style="439" bestFit="1" customWidth="1"/>
    <col min="12805" max="12805" width="11.5546875" style="439" bestFit="1" customWidth="1"/>
    <col min="12806" max="12806" width="26.109375" style="439" bestFit="1" customWidth="1"/>
    <col min="12807" max="12808" width="13.77734375" style="439" customWidth="1"/>
    <col min="12809" max="12809" width="0" style="439" hidden="1" customWidth="1"/>
    <col min="12810" max="12810" width="14" style="439" bestFit="1" customWidth="1"/>
    <col min="12811" max="12811" width="26.44140625" style="439" customWidth="1"/>
    <col min="12812" max="12812" width="10.6640625" style="439" customWidth="1"/>
    <col min="12813" max="12813" width="17.88671875" style="439" customWidth="1"/>
    <col min="12814" max="12814" width="14.109375" style="439" bestFit="1" customWidth="1"/>
    <col min="12815" max="12815" width="12.6640625" style="439" customWidth="1"/>
    <col min="12816" max="12816" width="15.6640625" style="439" bestFit="1" customWidth="1"/>
    <col min="12817" max="12817" width="14.109375" style="439" bestFit="1" customWidth="1"/>
    <col min="12818" max="12818" width="8.88671875" style="439"/>
    <col min="12819" max="12819" width="15.88671875" style="439" customWidth="1"/>
    <col min="12820" max="13059" width="8.88671875" style="439"/>
    <col min="13060" max="13060" width="10.109375" style="439" bestFit="1" customWidth="1"/>
    <col min="13061" max="13061" width="11.5546875" style="439" bestFit="1" customWidth="1"/>
    <col min="13062" max="13062" width="26.109375" style="439" bestFit="1" customWidth="1"/>
    <col min="13063" max="13064" width="13.77734375" style="439" customWidth="1"/>
    <col min="13065" max="13065" width="0" style="439" hidden="1" customWidth="1"/>
    <col min="13066" max="13066" width="14" style="439" bestFit="1" customWidth="1"/>
    <col min="13067" max="13067" width="26.44140625" style="439" customWidth="1"/>
    <col min="13068" max="13068" width="10.6640625" style="439" customWidth="1"/>
    <col min="13069" max="13069" width="17.88671875" style="439" customWidth="1"/>
    <col min="13070" max="13070" width="14.109375" style="439" bestFit="1" customWidth="1"/>
    <col min="13071" max="13071" width="12.6640625" style="439" customWidth="1"/>
    <col min="13072" max="13072" width="15.6640625" style="439" bestFit="1" customWidth="1"/>
    <col min="13073" max="13073" width="14.109375" style="439" bestFit="1" customWidth="1"/>
    <col min="13074" max="13074" width="8.88671875" style="439"/>
    <col min="13075" max="13075" width="15.88671875" style="439" customWidth="1"/>
    <col min="13076" max="13315" width="8.88671875" style="439"/>
    <col min="13316" max="13316" width="10.109375" style="439" bestFit="1" customWidth="1"/>
    <col min="13317" max="13317" width="11.5546875" style="439" bestFit="1" customWidth="1"/>
    <col min="13318" max="13318" width="26.109375" style="439" bestFit="1" customWidth="1"/>
    <col min="13319" max="13320" width="13.77734375" style="439" customWidth="1"/>
    <col min="13321" max="13321" width="0" style="439" hidden="1" customWidth="1"/>
    <col min="13322" max="13322" width="14" style="439" bestFit="1" customWidth="1"/>
    <col min="13323" max="13323" width="26.44140625" style="439" customWidth="1"/>
    <col min="13324" max="13324" width="10.6640625" style="439" customWidth="1"/>
    <col min="13325" max="13325" width="17.88671875" style="439" customWidth="1"/>
    <col min="13326" max="13326" width="14.109375" style="439" bestFit="1" customWidth="1"/>
    <col min="13327" max="13327" width="12.6640625" style="439" customWidth="1"/>
    <col min="13328" max="13328" width="15.6640625" style="439" bestFit="1" customWidth="1"/>
    <col min="13329" max="13329" width="14.109375" style="439" bestFit="1" customWidth="1"/>
    <col min="13330" max="13330" width="8.88671875" style="439"/>
    <col min="13331" max="13331" width="15.88671875" style="439" customWidth="1"/>
    <col min="13332" max="13571" width="8.88671875" style="439"/>
    <col min="13572" max="13572" width="10.109375" style="439" bestFit="1" customWidth="1"/>
    <col min="13573" max="13573" width="11.5546875" style="439" bestFit="1" customWidth="1"/>
    <col min="13574" max="13574" width="26.109375" style="439" bestFit="1" customWidth="1"/>
    <col min="13575" max="13576" width="13.77734375" style="439" customWidth="1"/>
    <col min="13577" max="13577" width="0" style="439" hidden="1" customWidth="1"/>
    <col min="13578" max="13578" width="14" style="439" bestFit="1" customWidth="1"/>
    <col min="13579" max="13579" width="26.44140625" style="439" customWidth="1"/>
    <col min="13580" max="13580" width="10.6640625" style="439" customWidth="1"/>
    <col min="13581" max="13581" width="17.88671875" style="439" customWidth="1"/>
    <col min="13582" max="13582" width="14.109375" style="439" bestFit="1" customWidth="1"/>
    <col min="13583" max="13583" width="12.6640625" style="439" customWidth="1"/>
    <col min="13584" max="13584" width="15.6640625" style="439" bestFit="1" customWidth="1"/>
    <col min="13585" max="13585" width="14.109375" style="439" bestFit="1" customWidth="1"/>
    <col min="13586" max="13586" width="8.88671875" style="439"/>
    <col min="13587" max="13587" width="15.88671875" style="439" customWidth="1"/>
    <col min="13588" max="13827" width="8.88671875" style="439"/>
    <col min="13828" max="13828" width="10.109375" style="439" bestFit="1" customWidth="1"/>
    <col min="13829" max="13829" width="11.5546875" style="439" bestFit="1" customWidth="1"/>
    <col min="13830" max="13830" width="26.109375" style="439" bestFit="1" customWidth="1"/>
    <col min="13831" max="13832" width="13.77734375" style="439" customWidth="1"/>
    <col min="13833" max="13833" width="0" style="439" hidden="1" customWidth="1"/>
    <col min="13834" max="13834" width="14" style="439" bestFit="1" customWidth="1"/>
    <col min="13835" max="13835" width="26.44140625" style="439" customWidth="1"/>
    <col min="13836" max="13836" width="10.6640625" style="439" customWidth="1"/>
    <col min="13837" max="13837" width="17.88671875" style="439" customWidth="1"/>
    <col min="13838" max="13838" width="14.109375" style="439" bestFit="1" customWidth="1"/>
    <col min="13839" max="13839" width="12.6640625" style="439" customWidth="1"/>
    <col min="13840" max="13840" width="15.6640625" style="439" bestFit="1" customWidth="1"/>
    <col min="13841" max="13841" width="14.109375" style="439" bestFit="1" customWidth="1"/>
    <col min="13842" max="13842" width="8.88671875" style="439"/>
    <col min="13843" max="13843" width="15.88671875" style="439" customWidth="1"/>
    <col min="13844" max="14083" width="8.88671875" style="439"/>
    <col min="14084" max="14084" width="10.109375" style="439" bestFit="1" customWidth="1"/>
    <col min="14085" max="14085" width="11.5546875" style="439" bestFit="1" customWidth="1"/>
    <col min="14086" max="14086" width="26.109375" style="439" bestFit="1" customWidth="1"/>
    <col min="14087" max="14088" width="13.77734375" style="439" customWidth="1"/>
    <col min="14089" max="14089" width="0" style="439" hidden="1" customWidth="1"/>
    <col min="14090" max="14090" width="14" style="439" bestFit="1" customWidth="1"/>
    <col min="14091" max="14091" width="26.44140625" style="439" customWidth="1"/>
    <col min="14092" max="14092" width="10.6640625" style="439" customWidth="1"/>
    <col min="14093" max="14093" width="17.88671875" style="439" customWidth="1"/>
    <col min="14094" max="14094" width="14.109375" style="439" bestFit="1" customWidth="1"/>
    <col min="14095" max="14095" width="12.6640625" style="439" customWidth="1"/>
    <col min="14096" max="14096" width="15.6640625" style="439" bestFit="1" customWidth="1"/>
    <col min="14097" max="14097" width="14.109375" style="439" bestFit="1" customWidth="1"/>
    <col min="14098" max="14098" width="8.88671875" style="439"/>
    <col min="14099" max="14099" width="15.88671875" style="439" customWidth="1"/>
    <col min="14100" max="14339" width="8.88671875" style="439"/>
    <col min="14340" max="14340" width="10.109375" style="439" bestFit="1" customWidth="1"/>
    <col min="14341" max="14341" width="11.5546875" style="439" bestFit="1" customWidth="1"/>
    <col min="14342" max="14342" width="26.109375" style="439" bestFit="1" customWidth="1"/>
    <col min="14343" max="14344" width="13.77734375" style="439" customWidth="1"/>
    <col min="14345" max="14345" width="0" style="439" hidden="1" customWidth="1"/>
    <col min="14346" max="14346" width="14" style="439" bestFit="1" customWidth="1"/>
    <col min="14347" max="14347" width="26.44140625" style="439" customWidth="1"/>
    <col min="14348" max="14348" width="10.6640625" style="439" customWidth="1"/>
    <col min="14349" max="14349" width="17.88671875" style="439" customWidth="1"/>
    <col min="14350" max="14350" width="14.109375" style="439" bestFit="1" customWidth="1"/>
    <col min="14351" max="14351" width="12.6640625" style="439" customWidth="1"/>
    <col min="14352" max="14352" width="15.6640625" style="439" bestFit="1" customWidth="1"/>
    <col min="14353" max="14353" width="14.109375" style="439" bestFit="1" customWidth="1"/>
    <col min="14354" max="14354" width="8.88671875" style="439"/>
    <col min="14355" max="14355" width="15.88671875" style="439" customWidth="1"/>
    <col min="14356" max="14595" width="8.88671875" style="439"/>
    <col min="14596" max="14596" width="10.109375" style="439" bestFit="1" customWidth="1"/>
    <col min="14597" max="14597" width="11.5546875" style="439" bestFit="1" customWidth="1"/>
    <col min="14598" max="14598" width="26.109375" style="439" bestFit="1" customWidth="1"/>
    <col min="14599" max="14600" width="13.77734375" style="439" customWidth="1"/>
    <col min="14601" max="14601" width="0" style="439" hidden="1" customWidth="1"/>
    <col min="14602" max="14602" width="14" style="439" bestFit="1" customWidth="1"/>
    <col min="14603" max="14603" width="26.44140625" style="439" customWidth="1"/>
    <col min="14604" max="14604" width="10.6640625" style="439" customWidth="1"/>
    <col min="14605" max="14605" width="17.88671875" style="439" customWidth="1"/>
    <col min="14606" max="14606" width="14.109375" style="439" bestFit="1" customWidth="1"/>
    <col min="14607" max="14607" width="12.6640625" style="439" customWidth="1"/>
    <col min="14608" max="14608" width="15.6640625" style="439" bestFit="1" customWidth="1"/>
    <col min="14609" max="14609" width="14.109375" style="439" bestFit="1" customWidth="1"/>
    <col min="14610" max="14610" width="8.88671875" style="439"/>
    <col min="14611" max="14611" width="15.88671875" style="439" customWidth="1"/>
    <col min="14612" max="14851" width="8.88671875" style="439"/>
    <col min="14852" max="14852" width="10.109375" style="439" bestFit="1" customWidth="1"/>
    <col min="14853" max="14853" width="11.5546875" style="439" bestFit="1" customWidth="1"/>
    <col min="14854" max="14854" width="26.109375" style="439" bestFit="1" customWidth="1"/>
    <col min="14855" max="14856" width="13.77734375" style="439" customWidth="1"/>
    <col min="14857" max="14857" width="0" style="439" hidden="1" customWidth="1"/>
    <col min="14858" max="14858" width="14" style="439" bestFit="1" customWidth="1"/>
    <col min="14859" max="14859" width="26.44140625" style="439" customWidth="1"/>
    <col min="14860" max="14860" width="10.6640625" style="439" customWidth="1"/>
    <col min="14861" max="14861" width="17.88671875" style="439" customWidth="1"/>
    <col min="14862" max="14862" width="14.109375" style="439" bestFit="1" customWidth="1"/>
    <col min="14863" max="14863" width="12.6640625" style="439" customWidth="1"/>
    <col min="14864" max="14864" width="15.6640625" style="439" bestFit="1" customWidth="1"/>
    <col min="14865" max="14865" width="14.109375" style="439" bestFit="1" customWidth="1"/>
    <col min="14866" max="14866" width="8.88671875" style="439"/>
    <col min="14867" max="14867" width="15.88671875" style="439" customWidth="1"/>
    <col min="14868" max="15107" width="8.88671875" style="439"/>
    <col min="15108" max="15108" width="10.109375" style="439" bestFit="1" customWidth="1"/>
    <col min="15109" max="15109" width="11.5546875" style="439" bestFit="1" customWidth="1"/>
    <col min="15110" max="15110" width="26.109375" style="439" bestFit="1" customWidth="1"/>
    <col min="15111" max="15112" width="13.77734375" style="439" customWidth="1"/>
    <col min="15113" max="15113" width="0" style="439" hidden="1" customWidth="1"/>
    <col min="15114" max="15114" width="14" style="439" bestFit="1" customWidth="1"/>
    <col min="15115" max="15115" width="26.44140625" style="439" customWidth="1"/>
    <col min="15116" max="15116" width="10.6640625" style="439" customWidth="1"/>
    <col min="15117" max="15117" width="17.88671875" style="439" customWidth="1"/>
    <col min="15118" max="15118" width="14.109375" style="439" bestFit="1" customWidth="1"/>
    <col min="15119" max="15119" width="12.6640625" style="439" customWidth="1"/>
    <col min="15120" max="15120" width="15.6640625" style="439" bestFit="1" customWidth="1"/>
    <col min="15121" max="15121" width="14.109375" style="439" bestFit="1" customWidth="1"/>
    <col min="15122" max="15122" width="8.88671875" style="439"/>
    <col min="15123" max="15123" width="15.88671875" style="439" customWidth="1"/>
    <col min="15124" max="15363" width="8.88671875" style="439"/>
    <col min="15364" max="15364" width="10.109375" style="439" bestFit="1" customWidth="1"/>
    <col min="15365" max="15365" width="11.5546875" style="439" bestFit="1" customWidth="1"/>
    <col min="15366" max="15366" width="26.109375" style="439" bestFit="1" customWidth="1"/>
    <col min="15367" max="15368" width="13.77734375" style="439" customWidth="1"/>
    <col min="15369" max="15369" width="0" style="439" hidden="1" customWidth="1"/>
    <col min="15370" max="15370" width="14" style="439" bestFit="1" customWidth="1"/>
    <col min="15371" max="15371" width="26.44140625" style="439" customWidth="1"/>
    <col min="15372" max="15372" width="10.6640625" style="439" customWidth="1"/>
    <col min="15373" max="15373" width="17.88671875" style="439" customWidth="1"/>
    <col min="15374" max="15374" width="14.109375" style="439" bestFit="1" customWidth="1"/>
    <col min="15375" max="15375" width="12.6640625" style="439" customWidth="1"/>
    <col min="15376" max="15376" width="15.6640625" style="439" bestFit="1" customWidth="1"/>
    <col min="15377" max="15377" width="14.109375" style="439" bestFit="1" customWidth="1"/>
    <col min="15378" max="15378" width="8.88671875" style="439"/>
    <col min="15379" max="15379" width="15.88671875" style="439" customWidth="1"/>
    <col min="15380" max="15619" width="8.88671875" style="439"/>
    <col min="15620" max="15620" width="10.109375" style="439" bestFit="1" customWidth="1"/>
    <col min="15621" max="15621" width="11.5546875" style="439" bestFit="1" customWidth="1"/>
    <col min="15622" max="15622" width="26.109375" style="439" bestFit="1" customWidth="1"/>
    <col min="15623" max="15624" width="13.77734375" style="439" customWidth="1"/>
    <col min="15625" max="15625" width="0" style="439" hidden="1" customWidth="1"/>
    <col min="15626" max="15626" width="14" style="439" bestFit="1" customWidth="1"/>
    <col min="15627" max="15627" width="26.44140625" style="439" customWidth="1"/>
    <col min="15628" max="15628" width="10.6640625" style="439" customWidth="1"/>
    <col min="15629" max="15629" width="17.88671875" style="439" customWidth="1"/>
    <col min="15630" max="15630" width="14.109375" style="439" bestFit="1" customWidth="1"/>
    <col min="15631" max="15631" width="12.6640625" style="439" customWidth="1"/>
    <col min="15632" max="15632" width="15.6640625" style="439" bestFit="1" customWidth="1"/>
    <col min="15633" max="15633" width="14.109375" style="439" bestFit="1" customWidth="1"/>
    <col min="15634" max="15634" width="8.88671875" style="439"/>
    <col min="15635" max="15635" width="15.88671875" style="439" customWidth="1"/>
    <col min="15636" max="15875" width="8.88671875" style="439"/>
    <col min="15876" max="15876" width="10.109375" style="439" bestFit="1" customWidth="1"/>
    <col min="15877" max="15877" width="11.5546875" style="439" bestFit="1" customWidth="1"/>
    <col min="15878" max="15878" width="26.109375" style="439" bestFit="1" customWidth="1"/>
    <col min="15879" max="15880" width="13.77734375" style="439" customWidth="1"/>
    <col min="15881" max="15881" width="0" style="439" hidden="1" customWidth="1"/>
    <col min="15882" max="15882" width="14" style="439" bestFit="1" customWidth="1"/>
    <col min="15883" max="15883" width="26.44140625" style="439" customWidth="1"/>
    <col min="15884" max="15884" width="10.6640625" style="439" customWidth="1"/>
    <col min="15885" max="15885" width="17.88671875" style="439" customWidth="1"/>
    <col min="15886" max="15886" width="14.109375" style="439" bestFit="1" customWidth="1"/>
    <col min="15887" max="15887" width="12.6640625" style="439" customWidth="1"/>
    <col min="15888" max="15888" width="15.6640625" style="439" bestFit="1" customWidth="1"/>
    <col min="15889" max="15889" width="14.109375" style="439" bestFit="1" customWidth="1"/>
    <col min="15890" max="15890" width="8.88671875" style="439"/>
    <col min="15891" max="15891" width="15.88671875" style="439" customWidth="1"/>
    <col min="15892" max="16131" width="8.88671875" style="439"/>
    <col min="16132" max="16132" width="10.109375" style="439" bestFit="1" customWidth="1"/>
    <col min="16133" max="16133" width="11.5546875" style="439" bestFit="1" customWidth="1"/>
    <col min="16134" max="16134" width="26.109375" style="439" bestFit="1" customWidth="1"/>
    <col min="16135" max="16136" width="13.77734375" style="439" customWidth="1"/>
    <col min="16137" max="16137" width="0" style="439" hidden="1" customWidth="1"/>
    <col min="16138" max="16138" width="14" style="439" bestFit="1" customWidth="1"/>
    <col min="16139" max="16139" width="26.44140625" style="439" customWidth="1"/>
    <col min="16140" max="16140" width="10.6640625" style="439" customWidth="1"/>
    <col min="16141" max="16141" width="17.88671875" style="439" customWidth="1"/>
    <col min="16142" max="16142" width="14.109375" style="439" bestFit="1" customWidth="1"/>
    <col min="16143" max="16143" width="12.6640625" style="439" customWidth="1"/>
    <col min="16144" max="16144" width="15.6640625" style="439" bestFit="1" customWidth="1"/>
    <col min="16145" max="16145" width="14.109375" style="439" bestFit="1" customWidth="1"/>
    <col min="16146" max="16146" width="8.88671875" style="439"/>
    <col min="16147" max="16147" width="15.88671875" style="439" customWidth="1"/>
    <col min="16148" max="16384" width="8.88671875" style="439"/>
  </cols>
  <sheetData>
    <row r="1" spans="1:24" ht="30.75" customHeight="1">
      <c r="A1" s="1285" t="s">
        <v>631</v>
      </c>
      <c r="B1" s="1286"/>
      <c r="C1" s="1286"/>
      <c r="D1" s="1286"/>
      <c r="E1" s="1286"/>
      <c r="F1" s="1286"/>
      <c r="G1" s="1286"/>
      <c r="H1" s="1286"/>
      <c r="I1" s="1286"/>
      <c r="J1" s="1286"/>
      <c r="K1" s="1286"/>
      <c r="L1" s="1286"/>
      <c r="M1" s="1286"/>
      <c r="N1" s="1287"/>
      <c r="P1" s="439">
        <f>P4-P5</f>
        <v>0</v>
      </c>
      <c r="Q1" s="439">
        <f t="shared" ref="Q1:V1" si="0">Q4-Q5</f>
        <v>0</v>
      </c>
      <c r="R1" s="439">
        <f t="shared" si="0"/>
        <v>0</v>
      </c>
      <c r="S1" s="439">
        <f t="shared" si="0"/>
        <v>0</v>
      </c>
      <c r="T1" s="439">
        <f t="shared" si="0"/>
        <v>0</v>
      </c>
      <c r="U1" s="439">
        <f t="shared" si="0"/>
        <v>0</v>
      </c>
      <c r="V1" s="439">
        <f t="shared" si="0"/>
        <v>0</v>
      </c>
    </row>
    <row r="2" spans="1:24" ht="19.5" customHeight="1" thickBot="1">
      <c r="A2" s="1288" t="s">
        <v>374</v>
      </c>
      <c r="B2" s="1289"/>
      <c r="C2" s="1289"/>
      <c r="D2" s="1289"/>
      <c r="E2" s="1289"/>
      <c r="F2" s="1289"/>
      <c r="G2" s="1289"/>
      <c r="H2" s="1289"/>
      <c r="I2" s="1289"/>
      <c r="J2" s="1289"/>
      <c r="K2" s="1289"/>
      <c r="L2" s="1289"/>
      <c r="M2" s="1289"/>
      <c r="N2" s="1290"/>
      <c r="O2" s="439">
        <f>O4-O5</f>
        <v>0</v>
      </c>
      <c r="P2" s="1084" t="s">
        <v>33</v>
      </c>
      <c r="Q2" s="1084" t="s">
        <v>450</v>
      </c>
      <c r="R2" s="1084" t="s">
        <v>457</v>
      </c>
      <c r="S2" s="1084" t="s">
        <v>208</v>
      </c>
      <c r="T2" s="1084" t="s">
        <v>209</v>
      </c>
      <c r="U2" s="1085" t="s">
        <v>473</v>
      </c>
      <c r="V2" s="1085" t="s">
        <v>718</v>
      </c>
      <c r="W2" s="1084" t="s">
        <v>204</v>
      </c>
      <c r="X2" s="522"/>
    </row>
    <row r="3" spans="1:24" ht="15" thickBot="1">
      <c r="A3" s="1291" t="s">
        <v>31</v>
      </c>
      <c r="B3" s="1291"/>
      <c r="C3" s="1291"/>
      <c r="D3" s="1271" t="s">
        <v>255</v>
      </c>
      <c r="E3" s="1271" t="s">
        <v>256</v>
      </c>
      <c r="F3" s="1271" t="s">
        <v>257</v>
      </c>
      <c r="G3" s="1271" t="s">
        <v>258</v>
      </c>
      <c r="H3" s="1292" t="s">
        <v>32</v>
      </c>
      <c r="I3" s="1293"/>
      <c r="J3" s="1293"/>
      <c r="K3" s="1293"/>
      <c r="L3" s="1293"/>
      <c r="M3" s="1294"/>
      <c r="N3" s="1298" t="s">
        <v>37</v>
      </c>
    </row>
    <row r="4" spans="1:24" ht="15" thickBot="1">
      <c r="A4" s="882" t="s">
        <v>38</v>
      </c>
      <c r="B4" s="882" t="s">
        <v>39</v>
      </c>
      <c r="C4" s="883" t="s">
        <v>40</v>
      </c>
      <c r="D4" s="1272"/>
      <c r="E4" s="1272"/>
      <c r="F4" s="1272"/>
      <c r="G4" s="1272"/>
      <c r="H4" s="1295"/>
      <c r="I4" s="1296"/>
      <c r="J4" s="1296"/>
      <c r="K4" s="1296"/>
      <c r="L4" s="1296"/>
      <c r="M4" s="1297"/>
      <c r="N4" s="1299"/>
      <c r="O4" s="439">
        <v>2349424429</v>
      </c>
      <c r="P4" s="522">
        <v>2176152995</v>
      </c>
      <c r="Q4" s="439">
        <v>20000000</v>
      </c>
      <c r="R4" s="439">
        <v>29278258</v>
      </c>
      <c r="S4" s="439">
        <v>16798370</v>
      </c>
      <c r="T4" s="439">
        <v>26596531</v>
      </c>
      <c r="U4" s="439">
        <v>52506030</v>
      </c>
      <c r="V4" s="439">
        <v>28092245</v>
      </c>
      <c r="X4" s="522" t="s">
        <v>590</v>
      </c>
    </row>
    <row r="5" spans="1:24" ht="15" thickBot="1">
      <c r="A5" s="1279" t="s">
        <v>41</v>
      </c>
      <c r="B5" s="1280"/>
      <c r="C5" s="1281"/>
      <c r="D5" s="885">
        <f>D6+D249+D259+D315+D322</f>
        <v>2293426887</v>
      </c>
      <c r="E5" s="577">
        <f>E6+E249+E259+E315+E322</f>
        <v>2349424429</v>
      </c>
      <c r="F5" s="885" t="e">
        <f>F6+F249+F259+F315+F322+#REF!</f>
        <v>#REF!</v>
      </c>
      <c r="G5" s="885">
        <f>G6+G249+G259+G315+G322</f>
        <v>55997542</v>
      </c>
      <c r="H5" s="573"/>
      <c r="I5" s="574"/>
      <c r="J5" s="575"/>
      <c r="K5" s="575"/>
      <c r="L5" s="576"/>
      <c r="M5" s="576"/>
      <c r="N5" s="577">
        <f>N6+N249+N259+N315+N322</f>
        <v>2349424429</v>
      </c>
      <c r="O5" s="439">
        <f>SUM(P5:V5)</f>
        <v>2349424429</v>
      </c>
      <c r="P5" s="439">
        <f>P155+P249+P259+P324+P7+P315</f>
        <v>2176152995</v>
      </c>
      <c r="Q5" s="439">
        <f>Q155+Q249+Q259+Q148+Q123</f>
        <v>20000000</v>
      </c>
      <c r="R5" s="439">
        <f>R155+R249+R259</f>
        <v>29278258</v>
      </c>
      <c r="S5" s="439">
        <f>S155+S249+S259</f>
        <v>16798370</v>
      </c>
      <c r="T5" s="439">
        <f>T155+T249+T259</f>
        <v>26596531</v>
      </c>
      <c r="U5" s="439">
        <f>U155+U249+U259+U315</f>
        <v>52506030</v>
      </c>
      <c r="V5" s="439">
        <f>V155+V249+V259+V317+V324</f>
        <v>28092245</v>
      </c>
      <c r="W5" s="439">
        <f>W317</f>
        <v>0</v>
      </c>
      <c r="X5" s="522" t="s">
        <v>591</v>
      </c>
    </row>
    <row r="6" spans="1:24" ht="15" thickBot="1">
      <c r="A6" s="583" t="s">
        <v>184</v>
      </c>
      <c r="B6" s="583"/>
      <c r="C6" s="583" t="s">
        <v>42</v>
      </c>
      <c r="D6" s="886">
        <f>D7+D155+D240</f>
        <v>985825330</v>
      </c>
      <c r="E6" s="886">
        <f>E7+E155+E240</f>
        <v>1023873131</v>
      </c>
      <c r="F6" s="886">
        <f>F7+F155+F240</f>
        <v>1020199129</v>
      </c>
      <c r="G6" s="583">
        <f>E6-D6</f>
        <v>38047801</v>
      </c>
      <c r="H6" s="578"/>
      <c r="I6" s="579"/>
      <c r="J6" s="580"/>
      <c r="K6" s="580"/>
      <c r="L6" s="581"/>
      <c r="M6" s="582"/>
      <c r="N6" s="583">
        <f>N7+N155+N240</f>
        <v>1023873131</v>
      </c>
    </row>
    <row r="7" spans="1:24" ht="15" thickBot="1">
      <c r="A7" s="887"/>
      <c r="B7" s="888" t="s">
        <v>44</v>
      </c>
      <c r="C7" s="588"/>
      <c r="D7" s="889">
        <f>D8+D37+D149+D131</f>
        <v>877132700</v>
      </c>
      <c r="E7" s="889">
        <f>E8+E37+E149+E131</f>
        <v>905746500</v>
      </c>
      <c r="F7" s="889">
        <f>F8+F37+F149+F131</f>
        <v>902096500</v>
      </c>
      <c r="G7" s="583">
        <f>E7-D7</f>
        <v>28613800</v>
      </c>
      <c r="H7" s="584"/>
      <c r="I7" s="585"/>
      <c r="J7" s="586"/>
      <c r="K7" s="586"/>
      <c r="L7" s="587"/>
      <c r="M7" s="587"/>
      <c r="N7" s="588">
        <f>N8+N149+N131</f>
        <v>905746500</v>
      </c>
      <c r="P7" s="439">
        <f>N7-Q123-Q148</f>
        <v>901792330</v>
      </c>
    </row>
    <row r="8" spans="1:24" ht="15" thickBot="1">
      <c r="A8" s="887"/>
      <c r="B8" s="887"/>
      <c r="C8" s="577" t="s">
        <v>159</v>
      </c>
      <c r="D8" s="591">
        <v>581350000</v>
      </c>
      <c r="E8" s="591">
        <f>N9</f>
        <v>598896000</v>
      </c>
      <c r="F8" s="591">
        <f>N9</f>
        <v>598896000</v>
      </c>
      <c r="G8" s="577">
        <f>E8-D8</f>
        <v>17546000</v>
      </c>
      <c r="H8" s="1282" t="s">
        <v>44</v>
      </c>
      <c r="I8" s="1283"/>
      <c r="J8" s="1283"/>
      <c r="K8" s="1283"/>
      <c r="L8" s="1283"/>
      <c r="M8" s="1284"/>
      <c r="N8" s="1018">
        <f>N9+N37</f>
        <v>762523660</v>
      </c>
    </row>
    <row r="9" spans="1:24" ht="15" thickBot="1">
      <c r="A9" s="887"/>
      <c r="B9" s="887"/>
      <c r="C9" s="890"/>
      <c r="D9" s="891"/>
      <c r="E9" s="892"/>
      <c r="F9" s="892"/>
      <c r="G9" s="891"/>
      <c r="H9" s="591" t="s">
        <v>3</v>
      </c>
      <c r="I9" s="592"/>
      <c r="J9" s="593"/>
      <c r="K9" s="593"/>
      <c r="L9" s="594"/>
      <c r="M9" s="595"/>
      <c r="N9" s="780">
        <f>SUM(N11:N36)</f>
        <v>598896000</v>
      </c>
    </row>
    <row r="10" spans="1:24" ht="15" thickBot="1">
      <c r="A10" s="887"/>
      <c r="B10" s="887"/>
      <c r="C10" s="890"/>
      <c r="D10" s="891"/>
      <c r="E10" s="887"/>
      <c r="F10" s="887"/>
      <c r="G10" s="891"/>
      <c r="H10" s="591" t="s">
        <v>375</v>
      </c>
      <c r="I10" s="592" t="s">
        <v>376</v>
      </c>
      <c r="J10" s="594"/>
      <c r="K10" s="594"/>
      <c r="L10" s="594"/>
      <c r="M10" s="595"/>
      <c r="N10" s="892" t="s">
        <v>37</v>
      </c>
    </row>
    <row r="11" spans="1:24" ht="22.5" customHeight="1">
      <c r="A11" s="887"/>
      <c r="B11" s="887"/>
      <c r="C11" s="890"/>
      <c r="D11" s="891"/>
      <c r="E11" s="887"/>
      <c r="F11" s="887"/>
      <c r="G11" s="891"/>
      <c r="H11" s="1264" t="s">
        <v>529</v>
      </c>
      <c r="I11" s="609">
        <v>5592000</v>
      </c>
      <c r="J11" s="608">
        <v>10</v>
      </c>
      <c r="K11" s="609" t="s">
        <v>451</v>
      </c>
      <c r="L11" s="609"/>
      <c r="M11" s="1267" t="s">
        <v>33</v>
      </c>
      <c r="N11" s="601">
        <f>I11*J11</f>
        <v>55920000</v>
      </c>
    </row>
    <row r="12" spans="1:24" ht="22.5" customHeight="1">
      <c r="A12" s="887"/>
      <c r="B12" s="887"/>
      <c r="C12" s="890"/>
      <c r="D12" s="891"/>
      <c r="E12" s="887"/>
      <c r="F12" s="887"/>
      <c r="G12" s="891"/>
      <c r="H12" s="1270"/>
      <c r="I12" s="604">
        <v>5592000</v>
      </c>
      <c r="J12" s="603">
        <v>2</v>
      </c>
      <c r="K12" s="604" t="s">
        <v>451</v>
      </c>
      <c r="L12" s="604"/>
      <c r="M12" s="1266"/>
      <c r="N12" s="605">
        <f t="shared" ref="N12:N36" si="1">I12*J12</f>
        <v>11184000</v>
      </c>
    </row>
    <row r="13" spans="1:24" ht="22.5" customHeight="1">
      <c r="A13" s="887"/>
      <c r="B13" s="887"/>
      <c r="C13" s="890"/>
      <c r="D13" s="891"/>
      <c r="E13" s="887"/>
      <c r="F13" s="887"/>
      <c r="G13" s="891"/>
      <c r="H13" s="1264" t="s">
        <v>527</v>
      </c>
      <c r="I13" s="609">
        <v>3657000</v>
      </c>
      <c r="J13" s="608">
        <v>3</v>
      </c>
      <c r="K13" s="609" t="s">
        <v>451</v>
      </c>
      <c r="L13" s="609"/>
      <c r="M13" s="1267" t="s">
        <v>33</v>
      </c>
      <c r="N13" s="610">
        <f t="shared" si="1"/>
        <v>10971000</v>
      </c>
    </row>
    <row r="14" spans="1:24" ht="22.5" customHeight="1">
      <c r="A14" s="887"/>
      <c r="B14" s="887"/>
      <c r="C14" s="890"/>
      <c r="D14" s="891"/>
      <c r="E14" s="887"/>
      <c r="F14" s="887"/>
      <c r="G14" s="891"/>
      <c r="H14" s="1259"/>
      <c r="I14" s="614">
        <v>3720000</v>
      </c>
      <c r="J14" s="613">
        <v>9</v>
      </c>
      <c r="K14" s="614" t="s">
        <v>451</v>
      </c>
      <c r="L14" s="614"/>
      <c r="M14" s="1268"/>
      <c r="N14" s="615">
        <f t="shared" si="1"/>
        <v>33480000</v>
      </c>
    </row>
    <row r="15" spans="1:24" ht="22.5" customHeight="1">
      <c r="A15" s="887"/>
      <c r="B15" s="887"/>
      <c r="C15" s="890"/>
      <c r="D15" s="891"/>
      <c r="E15" s="887"/>
      <c r="F15" s="887"/>
      <c r="G15" s="891"/>
      <c r="H15" s="1264" t="s">
        <v>525</v>
      </c>
      <c r="I15" s="600">
        <v>4303000</v>
      </c>
      <c r="J15" s="599">
        <v>6</v>
      </c>
      <c r="K15" s="600" t="s">
        <v>451</v>
      </c>
      <c r="L15" s="600"/>
      <c r="M15" s="1265" t="s">
        <v>33</v>
      </c>
      <c r="N15" s="616">
        <f t="shared" si="1"/>
        <v>25818000</v>
      </c>
    </row>
    <row r="16" spans="1:24" ht="22.5" customHeight="1">
      <c r="A16" s="887"/>
      <c r="B16" s="887"/>
      <c r="C16" s="890"/>
      <c r="D16" s="891"/>
      <c r="E16" s="887"/>
      <c r="F16" s="887"/>
      <c r="G16" s="891"/>
      <c r="H16" s="1259"/>
      <c r="I16" s="604">
        <v>4360000</v>
      </c>
      <c r="J16" s="603">
        <v>6</v>
      </c>
      <c r="K16" s="604" t="s">
        <v>451</v>
      </c>
      <c r="L16" s="604"/>
      <c r="M16" s="1266"/>
      <c r="N16" s="605">
        <f t="shared" si="1"/>
        <v>26160000</v>
      </c>
    </row>
    <row r="17" spans="1:14" ht="22.5" customHeight="1">
      <c r="A17" s="887"/>
      <c r="B17" s="887"/>
      <c r="C17" s="890"/>
      <c r="D17" s="891"/>
      <c r="E17" s="887"/>
      <c r="F17" s="887"/>
      <c r="G17" s="891"/>
      <c r="H17" s="1264" t="s">
        <v>525</v>
      </c>
      <c r="I17" s="609">
        <v>4070000</v>
      </c>
      <c r="J17" s="608">
        <v>8</v>
      </c>
      <c r="K17" s="609" t="s">
        <v>451</v>
      </c>
      <c r="L17" s="609"/>
      <c r="M17" s="1267" t="s">
        <v>33</v>
      </c>
      <c r="N17" s="610">
        <f t="shared" si="1"/>
        <v>32560000</v>
      </c>
    </row>
    <row r="18" spans="1:14" ht="22.5" customHeight="1">
      <c r="A18" s="887"/>
      <c r="B18" s="887"/>
      <c r="C18" s="890"/>
      <c r="D18" s="891"/>
      <c r="E18" s="887"/>
      <c r="F18" s="887"/>
      <c r="G18" s="891"/>
      <c r="H18" s="1259"/>
      <c r="I18" s="614">
        <v>4133000</v>
      </c>
      <c r="J18" s="613">
        <v>4</v>
      </c>
      <c r="K18" s="614" t="s">
        <v>451</v>
      </c>
      <c r="L18" s="614"/>
      <c r="M18" s="1268"/>
      <c r="N18" s="615">
        <f t="shared" si="1"/>
        <v>16532000</v>
      </c>
    </row>
    <row r="19" spans="1:14" ht="22.5" customHeight="1">
      <c r="A19" s="887"/>
      <c r="B19" s="887"/>
      <c r="C19" s="890"/>
      <c r="D19" s="891"/>
      <c r="E19" s="887"/>
      <c r="F19" s="887"/>
      <c r="G19" s="891"/>
      <c r="H19" s="1264" t="s">
        <v>525</v>
      </c>
      <c r="I19" s="600">
        <v>4192000</v>
      </c>
      <c r="J19" s="599">
        <v>11</v>
      </c>
      <c r="K19" s="600" t="s">
        <v>451</v>
      </c>
      <c r="L19" s="600"/>
      <c r="M19" s="1265" t="s">
        <v>33</v>
      </c>
      <c r="N19" s="616">
        <f t="shared" si="1"/>
        <v>46112000</v>
      </c>
    </row>
    <row r="20" spans="1:14" ht="22.5" customHeight="1">
      <c r="A20" s="887"/>
      <c r="B20" s="887"/>
      <c r="C20" s="890"/>
      <c r="D20" s="891"/>
      <c r="E20" s="887"/>
      <c r="F20" s="887"/>
      <c r="G20" s="891"/>
      <c r="H20" s="1259"/>
      <c r="I20" s="604">
        <v>4250000</v>
      </c>
      <c r="J20" s="603">
        <v>1</v>
      </c>
      <c r="K20" s="604" t="s">
        <v>451</v>
      </c>
      <c r="L20" s="604"/>
      <c r="M20" s="1266"/>
      <c r="N20" s="605">
        <f t="shared" si="1"/>
        <v>4250000</v>
      </c>
    </row>
    <row r="21" spans="1:14" ht="22.5" customHeight="1">
      <c r="A21" s="887"/>
      <c r="B21" s="887"/>
      <c r="C21" s="890"/>
      <c r="D21" s="891"/>
      <c r="E21" s="887"/>
      <c r="F21" s="887"/>
      <c r="G21" s="891"/>
      <c r="H21" s="617" t="s">
        <v>531</v>
      </c>
      <c r="I21" s="620">
        <v>2965000</v>
      </c>
      <c r="J21" s="619">
        <v>12</v>
      </c>
      <c r="K21" s="620" t="s">
        <v>451</v>
      </c>
      <c r="L21" s="620"/>
      <c r="M21" s="621" t="s">
        <v>33</v>
      </c>
      <c r="N21" s="622">
        <f t="shared" si="1"/>
        <v>35580000</v>
      </c>
    </row>
    <row r="22" spans="1:14" ht="22.5" customHeight="1">
      <c r="A22" s="887"/>
      <c r="B22" s="887"/>
      <c r="C22" s="890"/>
      <c r="D22" s="891"/>
      <c r="E22" s="887"/>
      <c r="F22" s="887"/>
      <c r="G22" s="891"/>
      <c r="H22" s="1273" t="s">
        <v>530</v>
      </c>
      <c r="I22" s="600">
        <v>3042000</v>
      </c>
      <c r="J22" s="599">
        <v>4</v>
      </c>
      <c r="K22" s="600" t="s">
        <v>451</v>
      </c>
      <c r="L22" s="600"/>
      <c r="M22" s="1265" t="s">
        <v>33</v>
      </c>
      <c r="N22" s="616">
        <f t="shared" si="1"/>
        <v>12168000</v>
      </c>
    </row>
    <row r="23" spans="1:14" ht="22.5" customHeight="1">
      <c r="A23" s="887"/>
      <c r="B23" s="887"/>
      <c r="C23" s="890"/>
      <c r="D23" s="891"/>
      <c r="E23" s="887"/>
      <c r="F23" s="887"/>
      <c r="G23" s="891"/>
      <c r="H23" s="1270"/>
      <c r="I23" s="604">
        <v>3119000</v>
      </c>
      <c r="J23" s="603">
        <v>8</v>
      </c>
      <c r="K23" s="604" t="s">
        <v>451</v>
      </c>
      <c r="L23" s="604"/>
      <c r="M23" s="1266"/>
      <c r="N23" s="605">
        <f t="shared" si="1"/>
        <v>24952000</v>
      </c>
    </row>
    <row r="24" spans="1:14" ht="22.5" customHeight="1">
      <c r="A24" s="887"/>
      <c r="B24" s="887"/>
      <c r="C24" s="890"/>
      <c r="D24" s="891"/>
      <c r="E24" s="887"/>
      <c r="F24" s="887"/>
      <c r="G24" s="891"/>
      <c r="H24" s="1264" t="s">
        <v>530</v>
      </c>
      <c r="I24" s="609">
        <v>2650000</v>
      </c>
      <c r="J24" s="608">
        <v>11</v>
      </c>
      <c r="K24" s="609" t="s">
        <v>451</v>
      </c>
      <c r="L24" s="609"/>
      <c r="M24" s="1267" t="s">
        <v>33</v>
      </c>
      <c r="N24" s="610">
        <f t="shared" si="1"/>
        <v>29150000</v>
      </c>
    </row>
    <row r="25" spans="1:14" ht="22.5" customHeight="1">
      <c r="A25" s="887"/>
      <c r="B25" s="887"/>
      <c r="C25" s="890"/>
      <c r="D25" s="891"/>
      <c r="E25" s="887"/>
      <c r="F25" s="887"/>
      <c r="G25" s="891"/>
      <c r="H25" s="1259"/>
      <c r="I25" s="614">
        <v>2746000</v>
      </c>
      <c r="J25" s="613">
        <v>1</v>
      </c>
      <c r="K25" s="614" t="s">
        <v>451</v>
      </c>
      <c r="L25" s="614"/>
      <c r="M25" s="1268"/>
      <c r="N25" s="615">
        <f t="shared" si="1"/>
        <v>2746000</v>
      </c>
    </row>
    <row r="26" spans="1:14" ht="22.5" customHeight="1">
      <c r="A26" s="887"/>
      <c r="B26" s="887"/>
      <c r="C26" s="890"/>
      <c r="D26" s="891"/>
      <c r="E26" s="887"/>
      <c r="F26" s="887"/>
      <c r="G26" s="891"/>
      <c r="H26" s="1273" t="s">
        <v>530</v>
      </c>
      <c r="I26" s="600">
        <v>3119000</v>
      </c>
      <c r="J26" s="599">
        <v>10</v>
      </c>
      <c r="K26" s="600" t="s">
        <v>451</v>
      </c>
      <c r="L26" s="600"/>
      <c r="M26" s="1265" t="s">
        <v>33</v>
      </c>
      <c r="N26" s="616">
        <f t="shared" si="1"/>
        <v>31190000</v>
      </c>
    </row>
    <row r="27" spans="1:14" ht="22.5" customHeight="1">
      <c r="A27" s="887"/>
      <c r="B27" s="887"/>
      <c r="C27" s="890"/>
      <c r="D27" s="891"/>
      <c r="E27" s="887"/>
      <c r="F27" s="887"/>
      <c r="G27" s="891"/>
      <c r="H27" s="1270"/>
      <c r="I27" s="604">
        <v>3170000</v>
      </c>
      <c r="J27" s="603">
        <v>2</v>
      </c>
      <c r="K27" s="604" t="s">
        <v>451</v>
      </c>
      <c r="L27" s="604"/>
      <c r="M27" s="1266"/>
      <c r="N27" s="605">
        <f t="shared" si="1"/>
        <v>6340000</v>
      </c>
    </row>
    <row r="28" spans="1:14" ht="22.5" customHeight="1">
      <c r="A28" s="887"/>
      <c r="B28" s="887"/>
      <c r="C28" s="890"/>
      <c r="D28" s="891"/>
      <c r="E28" s="887"/>
      <c r="F28" s="887"/>
      <c r="G28" s="891"/>
      <c r="H28" s="1264" t="s">
        <v>532</v>
      </c>
      <c r="I28" s="609">
        <v>2460000</v>
      </c>
      <c r="J28" s="608">
        <v>4</v>
      </c>
      <c r="K28" s="609" t="s">
        <v>451</v>
      </c>
      <c r="L28" s="609"/>
      <c r="M28" s="1267" t="s">
        <v>33</v>
      </c>
      <c r="N28" s="610">
        <f t="shared" si="1"/>
        <v>9840000</v>
      </c>
    </row>
    <row r="29" spans="1:14" ht="22.5" customHeight="1">
      <c r="A29" s="887"/>
      <c r="B29" s="887"/>
      <c r="C29" s="890"/>
      <c r="D29" s="891"/>
      <c r="E29" s="887"/>
      <c r="F29" s="887"/>
      <c r="G29" s="891"/>
      <c r="H29" s="1255"/>
      <c r="I29" s="697">
        <v>2484000</v>
      </c>
      <c r="J29" s="696">
        <v>8</v>
      </c>
      <c r="K29" s="697" t="s">
        <v>609</v>
      </c>
      <c r="L29" s="697"/>
      <c r="M29" s="1274"/>
      <c r="N29" s="1052">
        <f>I29*J29</f>
        <v>19872000</v>
      </c>
    </row>
    <row r="30" spans="1:14" ht="22.5" customHeight="1">
      <c r="A30" s="887"/>
      <c r="B30" s="887"/>
      <c r="C30" s="890"/>
      <c r="D30" s="891"/>
      <c r="E30" s="887"/>
      <c r="F30" s="887"/>
      <c r="G30" s="891"/>
      <c r="H30" s="623" t="s">
        <v>534</v>
      </c>
      <c r="I30" s="626">
        <v>3241000</v>
      </c>
      <c r="J30" s="625">
        <v>12</v>
      </c>
      <c r="K30" s="626" t="s">
        <v>451</v>
      </c>
      <c r="L30" s="626"/>
      <c r="M30" s="627" t="s">
        <v>33</v>
      </c>
      <c r="N30" s="628">
        <f t="shared" si="1"/>
        <v>38892000</v>
      </c>
    </row>
    <row r="31" spans="1:14" ht="22.5" customHeight="1">
      <c r="A31" s="887"/>
      <c r="B31" s="887"/>
      <c r="C31" s="890"/>
      <c r="D31" s="891"/>
      <c r="E31" s="887"/>
      <c r="F31" s="887"/>
      <c r="G31" s="891"/>
      <c r="H31" s="1264" t="s">
        <v>536</v>
      </c>
      <c r="I31" s="609">
        <v>2950000</v>
      </c>
      <c r="J31" s="608">
        <v>5</v>
      </c>
      <c r="K31" s="609" t="s">
        <v>451</v>
      </c>
      <c r="L31" s="609"/>
      <c r="M31" s="1267" t="s">
        <v>33</v>
      </c>
      <c r="N31" s="610">
        <f t="shared" si="1"/>
        <v>14750000</v>
      </c>
    </row>
    <row r="32" spans="1:14" ht="22.5" customHeight="1">
      <c r="A32" s="887"/>
      <c r="B32" s="887"/>
      <c r="C32" s="890"/>
      <c r="D32" s="891"/>
      <c r="E32" s="887"/>
      <c r="F32" s="887"/>
      <c r="G32" s="891"/>
      <c r="H32" s="1259"/>
      <c r="I32" s="614">
        <v>2999000</v>
      </c>
      <c r="J32" s="613">
        <v>7</v>
      </c>
      <c r="K32" s="614" t="s">
        <v>451</v>
      </c>
      <c r="L32" s="614"/>
      <c r="M32" s="1268"/>
      <c r="N32" s="615">
        <f t="shared" si="1"/>
        <v>20993000</v>
      </c>
    </row>
    <row r="33" spans="1:14" ht="22.5" customHeight="1">
      <c r="A33" s="887"/>
      <c r="B33" s="887"/>
      <c r="C33" s="890"/>
      <c r="D33" s="891"/>
      <c r="E33" s="887"/>
      <c r="F33" s="887"/>
      <c r="G33" s="891"/>
      <c r="H33" s="1254" t="s">
        <v>537</v>
      </c>
      <c r="I33" s="600">
        <v>2459000</v>
      </c>
      <c r="J33" s="599">
        <v>8</v>
      </c>
      <c r="K33" s="600" t="s">
        <v>451</v>
      </c>
      <c r="L33" s="600"/>
      <c r="M33" s="1277" t="s">
        <v>33</v>
      </c>
      <c r="N33" s="616">
        <f t="shared" si="1"/>
        <v>19672000</v>
      </c>
    </row>
    <row r="34" spans="1:14" ht="22.5" customHeight="1">
      <c r="A34" s="887"/>
      <c r="B34" s="887"/>
      <c r="C34" s="890"/>
      <c r="D34" s="891"/>
      <c r="E34" s="887"/>
      <c r="F34" s="887"/>
      <c r="G34" s="891"/>
      <c r="H34" s="1255"/>
      <c r="I34" s="604">
        <v>2480000</v>
      </c>
      <c r="J34" s="603">
        <v>4</v>
      </c>
      <c r="K34" s="604" t="s">
        <v>451</v>
      </c>
      <c r="L34" s="604"/>
      <c r="M34" s="1278"/>
      <c r="N34" s="605">
        <f t="shared" si="1"/>
        <v>9920000</v>
      </c>
    </row>
    <row r="35" spans="1:14" ht="22.5" customHeight="1">
      <c r="A35" s="887"/>
      <c r="B35" s="887"/>
      <c r="C35" s="890"/>
      <c r="D35" s="891"/>
      <c r="E35" s="887"/>
      <c r="F35" s="887"/>
      <c r="G35" s="891"/>
      <c r="H35" s="629" t="s">
        <v>537</v>
      </c>
      <c r="I35" s="620">
        <v>2459000</v>
      </c>
      <c r="J35" s="619">
        <v>12</v>
      </c>
      <c r="K35" s="620" t="s">
        <v>451</v>
      </c>
      <c r="L35" s="620"/>
      <c r="M35" s="621" t="s">
        <v>33</v>
      </c>
      <c r="N35" s="622">
        <f t="shared" si="1"/>
        <v>29508000</v>
      </c>
    </row>
    <row r="36" spans="1:14" ht="22.5" customHeight="1" thickBot="1">
      <c r="A36" s="887"/>
      <c r="B36" s="887"/>
      <c r="C36" s="890"/>
      <c r="D36" s="891"/>
      <c r="E36" s="887"/>
      <c r="F36" s="887"/>
      <c r="G36" s="891"/>
      <c r="H36" s="630" t="s">
        <v>539</v>
      </c>
      <c r="I36" s="633">
        <v>2528000</v>
      </c>
      <c r="J36" s="632">
        <v>12</v>
      </c>
      <c r="K36" s="633" t="s">
        <v>451</v>
      </c>
      <c r="L36" s="633"/>
      <c r="M36" s="634" t="s">
        <v>33</v>
      </c>
      <c r="N36" s="635">
        <f t="shared" si="1"/>
        <v>30336000</v>
      </c>
    </row>
    <row r="37" spans="1:14" ht="15" thickBot="1">
      <c r="A37" s="887"/>
      <c r="B37" s="887"/>
      <c r="C37" s="577" t="s">
        <v>160</v>
      </c>
      <c r="D37" s="885">
        <v>157286390</v>
      </c>
      <c r="E37" s="577">
        <f>N37</f>
        <v>163627660</v>
      </c>
      <c r="F37" s="577">
        <f>F38+F55+F81+F98+F124+F127</f>
        <v>159977660</v>
      </c>
      <c r="G37" s="577">
        <f>E37-D37</f>
        <v>6341270</v>
      </c>
      <c r="H37" s="636" t="s">
        <v>160</v>
      </c>
      <c r="I37" s="637"/>
      <c r="J37" s="638"/>
      <c r="K37" s="638"/>
      <c r="L37" s="638"/>
      <c r="M37" s="639"/>
      <c r="N37" s="1019">
        <f>N38+N55+N81+N98+N124+N127+N122</f>
        <v>163627660</v>
      </c>
    </row>
    <row r="38" spans="1:14" ht="15" thickBot="1">
      <c r="A38" s="887"/>
      <c r="B38" s="887"/>
      <c r="C38" s="887"/>
      <c r="D38" s="884">
        <v>21600000</v>
      </c>
      <c r="E38" s="577">
        <f>N38</f>
        <v>23400000</v>
      </c>
      <c r="F38" s="780">
        <f>N38</f>
        <v>23400000</v>
      </c>
      <c r="G38" s="577">
        <f>E38-D38</f>
        <v>1800000</v>
      </c>
      <c r="H38" s="640" t="s">
        <v>4</v>
      </c>
      <c r="I38" s="641"/>
      <c r="J38" s="642"/>
      <c r="K38" s="642"/>
      <c r="L38" s="643"/>
      <c r="M38" s="644"/>
      <c r="N38" s="908">
        <f>SUM(N40:N54)</f>
        <v>23400000</v>
      </c>
    </row>
    <row r="39" spans="1:14" ht="15" thickBot="1">
      <c r="A39" s="887"/>
      <c r="B39" s="887"/>
      <c r="C39" s="887"/>
      <c r="D39" s="891"/>
      <c r="E39" s="887"/>
      <c r="F39" s="887"/>
      <c r="G39" s="891"/>
      <c r="H39" s="591" t="s">
        <v>375</v>
      </c>
      <c r="I39" s="594" t="s">
        <v>376</v>
      </c>
      <c r="J39" s="593"/>
      <c r="K39" s="593"/>
      <c r="L39" s="594"/>
      <c r="M39" s="595"/>
      <c r="N39" s="780" t="s">
        <v>37</v>
      </c>
    </row>
    <row r="40" spans="1:14" ht="24" customHeight="1">
      <c r="A40" s="887"/>
      <c r="B40" s="887"/>
      <c r="C40" s="887"/>
      <c r="D40" s="891"/>
      <c r="E40" s="887"/>
      <c r="F40" s="887"/>
      <c r="G40" s="891"/>
      <c r="H40" s="646" t="s">
        <v>528</v>
      </c>
      <c r="I40" s="647">
        <v>130000</v>
      </c>
      <c r="J40" s="648">
        <v>12</v>
      </c>
      <c r="K40" s="649" t="s">
        <v>451</v>
      </c>
      <c r="L40" s="647"/>
      <c r="M40" s="650" t="s">
        <v>33</v>
      </c>
      <c r="N40" s="651">
        <f t="shared" ref="N40:N54" si="2">I40*J40</f>
        <v>1560000</v>
      </c>
    </row>
    <row r="41" spans="1:14" ht="24" customHeight="1">
      <c r="A41" s="887"/>
      <c r="B41" s="887"/>
      <c r="C41" s="887"/>
      <c r="D41" s="891"/>
      <c r="E41" s="887"/>
      <c r="F41" s="887"/>
      <c r="G41" s="891"/>
      <c r="H41" s="629" t="s">
        <v>526</v>
      </c>
      <c r="I41" s="652">
        <v>130000</v>
      </c>
      <c r="J41" s="619">
        <v>12</v>
      </c>
      <c r="K41" s="620" t="s">
        <v>451</v>
      </c>
      <c r="L41" s="652"/>
      <c r="M41" s="653" t="s">
        <v>33</v>
      </c>
      <c r="N41" s="622">
        <f t="shared" si="2"/>
        <v>1560000</v>
      </c>
    </row>
    <row r="42" spans="1:14" ht="24" customHeight="1">
      <c r="A42" s="887"/>
      <c r="B42" s="887"/>
      <c r="C42" s="887"/>
      <c r="D42" s="891"/>
      <c r="E42" s="887"/>
      <c r="F42" s="887"/>
      <c r="G42" s="891"/>
      <c r="H42" s="629" t="s">
        <v>524</v>
      </c>
      <c r="I42" s="652">
        <v>130000</v>
      </c>
      <c r="J42" s="619">
        <v>12</v>
      </c>
      <c r="K42" s="620" t="s">
        <v>451</v>
      </c>
      <c r="L42" s="652"/>
      <c r="M42" s="653" t="s">
        <v>33</v>
      </c>
      <c r="N42" s="622">
        <f t="shared" si="2"/>
        <v>1560000</v>
      </c>
    </row>
    <row r="43" spans="1:14" ht="24" customHeight="1">
      <c r="A43" s="887"/>
      <c r="B43" s="887"/>
      <c r="C43" s="887"/>
      <c r="D43" s="891"/>
      <c r="E43" s="887"/>
      <c r="F43" s="887"/>
      <c r="G43" s="891"/>
      <c r="H43" s="617" t="s">
        <v>524</v>
      </c>
      <c r="I43" s="652">
        <v>130000</v>
      </c>
      <c r="J43" s="619">
        <v>12</v>
      </c>
      <c r="K43" s="620" t="s">
        <v>451</v>
      </c>
      <c r="L43" s="652"/>
      <c r="M43" s="653" t="s">
        <v>33</v>
      </c>
      <c r="N43" s="622">
        <f t="shared" si="2"/>
        <v>1560000</v>
      </c>
    </row>
    <row r="44" spans="1:14" ht="24" customHeight="1">
      <c r="A44" s="887"/>
      <c r="B44" s="887"/>
      <c r="C44" s="887"/>
      <c r="D44" s="891"/>
      <c r="E44" s="887"/>
      <c r="F44" s="887"/>
      <c r="G44" s="891"/>
      <c r="H44" s="617" t="s">
        <v>524</v>
      </c>
      <c r="I44" s="652">
        <v>130000</v>
      </c>
      <c r="J44" s="619">
        <v>12</v>
      </c>
      <c r="K44" s="620" t="s">
        <v>451</v>
      </c>
      <c r="L44" s="652"/>
      <c r="M44" s="653" t="s">
        <v>33</v>
      </c>
      <c r="N44" s="622">
        <f t="shared" si="2"/>
        <v>1560000</v>
      </c>
    </row>
    <row r="45" spans="1:14" ht="24" customHeight="1">
      <c r="A45" s="887"/>
      <c r="B45" s="887"/>
      <c r="C45" s="887"/>
      <c r="D45" s="891"/>
      <c r="E45" s="887"/>
      <c r="F45" s="887"/>
      <c r="G45" s="891"/>
      <c r="H45" s="617" t="s">
        <v>531</v>
      </c>
      <c r="I45" s="652">
        <v>130000</v>
      </c>
      <c r="J45" s="619">
        <v>12</v>
      </c>
      <c r="K45" s="620" t="s">
        <v>451</v>
      </c>
      <c r="L45" s="652"/>
      <c r="M45" s="653" t="s">
        <v>33</v>
      </c>
      <c r="N45" s="622">
        <f t="shared" si="2"/>
        <v>1560000</v>
      </c>
    </row>
    <row r="46" spans="1:14" ht="24" customHeight="1">
      <c r="A46" s="887"/>
      <c r="B46" s="887"/>
      <c r="C46" s="887"/>
      <c r="D46" s="891"/>
      <c r="E46" s="887"/>
      <c r="F46" s="887"/>
      <c r="G46" s="891"/>
      <c r="H46" s="617" t="s">
        <v>530</v>
      </c>
      <c r="I46" s="652">
        <v>130000</v>
      </c>
      <c r="J46" s="619">
        <v>12</v>
      </c>
      <c r="K46" s="620" t="s">
        <v>451</v>
      </c>
      <c r="L46" s="652"/>
      <c r="M46" s="653" t="s">
        <v>33</v>
      </c>
      <c r="N46" s="622">
        <f t="shared" si="2"/>
        <v>1560000</v>
      </c>
    </row>
    <row r="47" spans="1:14" ht="24" customHeight="1">
      <c r="A47" s="887"/>
      <c r="B47" s="887"/>
      <c r="C47" s="887"/>
      <c r="D47" s="891"/>
      <c r="E47" s="887"/>
      <c r="F47" s="887"/>
      <c r="G47" s="891"/>
      <c r="H47" s="617" t="s">
        <v>530</v>
      </c>
      <c r="I47" s="652">
        <v>130000</v>
      </c>
      <c r="J47" s="619">
        <v>12</v>
      </c>
      <c r="K47" s="620" t="s">
        <v>451</v>
      </c>
      <c r="L47" s="652"/>
      <c r="M47" s="653" t="s">
        <v>33</v>
      </c>
      <c r="N47" s="622">
        <f t="shared" si="2"/>
        <v>1560000</v>
      </c>
    </row>
    <row r="48" spans="1:14" ht="24" customHeight="1">
      <c r="A48" s="887"/>
      <c r="B48" s="887"/>
      <c r="C48" s="887"/>
      <c r="D48" s="891"/>
      <c r="E48" s="887"/>
      <c r="F48" s="887"/>
      <c r="G48" s="891"/>
      <c r="H48" s="617" t="s">
        <v>530</v>
      </c>
      <c r="I48" s="652">
        <v>130000</v>
      </c>
      <c r="J48" s="619">
        <v>12</v>
      </c>
      <c r="K48" s="620" t="s">
        <v>451</v>
      </c>
      <c r="L48" s="652"/>
      <c r="M48" s="653" t="s">
        <v>33</v>
      </c>
      <c r="N48" s="622">
        <f t="shared" si="2"/>
        <v>1560000</v>
      </c>
    </row>
    <row r="49" spans="1:18" ht="24" customHeight="1">
      <c r="A49" s="887"/>
      <c r="B49" s="887"/>
      <c r="C49" s="887"/>
      <c r="D49" s="891"/>
      <c r="E49" s="887"/>
      <c r="F49" s="887"/>
      <c r="G49" s="891"/>
      <c r="H49" s="1121" t="s">
        <v>532</v>
      </c>
      <c r="I49" s="652">
        <v>130000</v>
      </c>
      <c r="J49" s="603">
        <v>12</v>
      </c>
      <c r="K49" s="604" t="s">
        <v>451</v>
      </c>
      <c r="L49" s="604"/>
      <c r="M49" s="1122"/>
      <c r="N49" s="1052">
        <f>I49*J49</f>
        <v>1560000</v>
      </c>
    </row>
    <row r="50" spans="1:18" ht="24" customHeight="1">
      <c r="A50" s="887"/>
      <c r="B50" s="887"/>
      <c r="C50" s="887"/>
      <c r="D50" s="891"/>
      <c r="E50" s="887"/>
      <c r="F50" s="887"/>
      <c r="G50" s="891"/>
      <c r="H50" s="654" t="s">
        <v>533</v>
      </c>
      <c r="I50" s="652">
        <v>130000</v>
      </c>
      <c r="J50" s="619">
        <v>12</v>
      </c>
      <c r="K50" s="620" t="s">
        <v>451</v>
      </c>
      <c r="L50" s="652"/>
      <c r="M50" s="653" t="s">
        <v>33</v>
      </c>
      <c r="N50" s="622">
        <f t="shared" si="2"/>
        <v>1560000</v>
      </c>
    </row>
    <row r="51" spans="1:18" ht="24" customHeight="1">
      <c r="A51" s="887"/>
      <c r="B51" s="887"/>
      <c r="C51" s="887"/>
      <c r="D51" s="891"/>
      <c r="E51" s="887"/>
      <c r="F51" s="887"/>
      <c r="G51" s="891"/>
      <c r="H51" s="655" t="s">
        <v>535</v>
      </c>
      <c r="I51" s="656">
        <v>130000</v>
      </c>
      <c r="J51" s="657">
        <v>12</v>
      </c>
      <c r="K51" s="658" t="s">
        <v>451</v>
      </c>
      <c r="L51" s="656"/>
      <c r="M51" s="659" t="s">
        <v>33</v>
      </c>
      <c r="N51" s="660">
        <f t="shared" si="2"/>
        <v>1560000</v>
      </c>
    </row>
    <row r="52" spans="1:18" ht="24" customHeight="1">
      <c r="A52" s="887"/>
      <c r="B52" s="887"/>
      <c r="C52" s="887"/>
      <c r="D52" s="891"/>
      <c r="E52" s="887"/>
      <c r="F52" s="887"/>
      <c r="G52" s="891"/>
      <c r="H52" s="654" t="s">
        <v>537</v>
      </c>
      <c r="I52" s="652">
        <v>130000</v>
      </c>
      <c r="J52" s="619">
        <v>12</v>
      </c>
      <c r="K52" s="620" t="s">
        <v>451</v>
      </c>
      <c r="L52" s="652"/>
      <c r="M52" s="653" t="s">
        <v>33</v>
      </c>
      <c r="N52" s="610">
        <f t="shared" si="2"/>
        <v>1560000</v>
      </c>
    </row>
    <row r="53" spans="1:18" ht="24" customHeight="1">
      <c r="A53" s="887"/>
      <c r="B53" s="887"/>
      <c r="C53" s="887"/>
      <c r="D53" s="891"/>
      <c r="E53" s="887"/>
      <c r="F53" s="887"/>
      <c r="G53" s="891"/>
      <c r="H53" s="654" t="s">
        <v>537</v>
      </c>
      <c r="I53" s="652">
        <v>130000</v>
      </c>
      <c r="J53" s="619">
        <v>12</v>
      </c>
      <c r="K53" s="620" t="s">
        <v>451</v>
      </c>
      <c r="L53" s="652"/>
      <c r="M53" s="653" t="s">
        <v>33</v>
      </c>
      <c r="N53" s="610">
        <f t="shared" si="2"/>
        <v>1560000</v>
      </c>
    </row>
    <row r="54" spans="1:18" ht="24" customHeight="1" thickBot="1">
      <c r="A54" s="887"/>
      <c r="B54" s="887"/>
      <c r="C54" s="887"/>
      <c r="D54" s="891"/>
      <c r="E54" s="887"/>
      <c r="F54" s="887"/>
      <c r="G54" s="891"/>
      <c r="H54" s="663" t="s">
        <v>539</v>
      </c>
      <c r="I54" s="664">
        <v>130000</v>
      </c>
      <c r="J54" s="665">
        <v>12</v>
      </c>
      <c r="K54" s="666" t="s">
        <v>451</v>
      </c>
      <c r="L54" s="664"/>
      <c r="M54" s="667" t="s">
        <v>33</v>
      </c>
      <c r="N54" s="668">
        <f t="shared" si="2"/>
        <v>1560000</v>
      </c>
    </row>
    <row r="55" spans="1:18" ht="15" thickBot="1">
      <c r="A55" s="887"/>
      <c r="B55" s="887"/>
      <c r="C55" s="890"/>
      <c r="D55" s="885">
        <v>57742190</v>
      </c>
      <c r="E55" s="577">
        <f>N55</f>
        <v>59600860</v>
      </c>
      <c r="F55" s="780">
        <f>N55</f>
        <v>59600860</v>
      </c>
      <c r="G55" s="577">
        <f>E55-D55</f>
        <v>1858670</v>
      </c>
      <c r="H55" s="591" t="s">
        <v>6</v>
      </c>
      <c r="I55" s="592"/>
      <c r="J55" s="593"/>
      <c r="K55" s="593"/>
      <c r="L55" s="594"/>
      <c r="M55" s="595"/>
      <c r="N55" s="780">
        <f>SUM(N57:N80)</f>
        <v>59600860</v>
      </c>
    </row>
    <row r="56" spans="1:18" ht="15" thickBot="1">
      <c r="A56" s="887"/>
      <c r="B56" s="887"/>
      <c r="C56" s="890"/>
      <c r="D56" s="891"/>
      <c r="E56" s="892"/>
      <c r="F56" s="892"/>
      <c r="G56" s="891"/>
      <c r="H56" s="591" t="s">
        <v>375</v>
      </c>
      <c r="I56" s="594" t="s">
        <v>376</v>
      </c>
      <c r="J56" s="593"/>
      <c r="K56" s="593"/>
      <c r="L56" s="594" t="s">
        <v>491</v>
      </c>
      <c r="M56" s="595"/>
      <c r="N56" s="1020" t="s">
        <v>37</v>
      </c>
    </row>
    <row r="57" spans="1:18" ht="24" customHeight="1">
      <c r="A57" s="887"/>
      <c r="B57" s="887"/>
      <c r="C57" s="890"/>
      <c r="D57" s="891"/>
      <c r="E57" s="887"/>
      <c r="F57" s="887"/>
      <c r="G57" s="891"/>
      <c r="H57" s="1264" t="s">
        <v>527</v>
      </c>
      <c r="I57" s="609">
        <v>3657000</v>
      </c>
      <c r="J57" s="671">
        <v>3</v>
      </c>
      <c r="K57" s="670" t="s">
        <v>451</v>
      </c>
      <c r="L57" s="670" t="s">
        <v>479</v>
      </c>
      <c r="M57" s="672" t="s">
        <v>33</v>
      </c>
      <c r="N57" s="673">
        <f>ROUNDDOWN((I57+130000)*1/209*15*1.5,-1)*J57</f>
        <v>1223070</v>
      </c>
      <c r="P57" s="529"/>
      <c r="Q57" s="444"/>
      <c r="R57" s="529"/>
    </row>
    <row r="58" spans="1:18" ht="24" customHeight="1">
      <c r="A58" s="887"/>
      <c r="B58" s="887"/>
      <c r="C58" s="890"/>
      <c r="D58" s="891"/>
      <c r="E58" s="887"/>
      <c r="F58" s="887"/>
      <c r="G58" s="891"/>
      <c r="H58" s="1259"/>
      <c r="I58" s="614">
        <v>3720000</v>
      </c>
      <c r="J58" s="603">
        <v>9</v>
      </c>
      <c r="K58" s="604" t="s">
        <v>451</v>
      </c>
      <c r="L58" s="604" t="s">
        <v>479</v>
      </c>
      <c r="M58" s="674" t="s">
        <v>33</v>
      </c>
      <c r="N58" s="679">
        <f t="shared" ref="N58:N80" si="3">ROUNDDOWN((I58+130000)*1/209*15*1.5,-1)*J58</f>
        <v>3730230</v>
      </c>
      <c r="P58" s="529"/>
      <c r="Q58" s="444"/>
      <c r="R58" s="529"/>
    </row>
    <row r="59" spans="1:18" ht="24" customHeight="1">
      <c r="A59" s="887"/>
      <c r="B59" s="887"/>
      <c r="C59" s="890"/>
      <c r="D59" s="891"/>
      <c r="E59" s="887"/>
      <c r="F59" s="887"/>
      <c r="G59" s="891"/>
      <c r="H59" s="1264" t="s">
        <v>525</v>
      </c>
      <c r="I59" s="600">
        <v>4303000</v>
      </c>
      <c r="J59" s="608">
        <v>6</v>
      </c>
      <c r="K59" s="609" t="s">
        <v>451</v>
      </c>
      <c r="L59" s="609" t="s">
        <v>479</v>
      </c>
      <c r="M59" s="676" t="s">
        <v>33</v>
      </c>
      <c r="N59" s="790">
        <f t="shared" si="3"/>
        <v>2863380</v>
      </c>
      <c r="P59" s="529"/>
      <c r="Q59" s="444"/>
      <c r="R59" s="529"/>
    </row>
    <row r="60" spans="1:18" ht="24" customHeight="1">
      <c r="A60" s="887"/>
      <c r="B60" s="887"/>
      <c r="C60" s="890"/>
      <c r="D60" s="891"/>
      <c r="E60" s="887"/>
      <c r="F60" s="887"/>
      <c r="G60" s="891"/>
      <c r="H60" s="1259"/>
      <c r="I60" s="614">
        <v>4360000</v>
      </c>
      <c r="J60" s="613">
        <v>6</v>
      </c>
      <c r="K60" s="614" t="s">
        <v>451</v>
      </c>
      <c r="L60" s="614" t="s">
        <v>479</v>
      </c>
      <c r="M60" s="678" t="s">
        <v>33</v>
      </c>
      <c r="N60" s="679">
        <f t="shared" si="3"/>
        <v>2900220</v>
      </c>
      <c r="P60" s="529"/>
      <c r="Q60" s="444"/>
      <c r="R60" s="529"/>
    </row>
    <row r="61" spans="1:18" ht="24" customHeight="1">
      <c r="A61" s="887"/>
      <c r="B61" s="887"/>
      <c r="C61" s="890"/>
      <c r="D61" s="891"/>
      <c r="E61" s="887"/>
      <c r="F61" s="887"/>
      <c r="G61" s="891"/>
      <c r="H61" s="1264" t="s">
        <v>525</v>
      </c>
      <c r="I61" s="600">
        <v>4070000</v>
      </c>
      <c r="J61" s="608">
        <v>8</v>
      </c>
      <c r="K61" s="609" t="s">
        <v>451</v>
      </c>
      <c r="L61" s="609" t="s">
        <v>479</v>
      </c>
      <c r="M61" s="676" t="s">
        <v>33</v>
      </c>
      <c r="N61" s="790">
        <f t="shared" si="3"/>
        <v>3617200</v>
      </c>
      <c r="P61" s="529"/>
      <c r="Q61" s="544"/>
      <c r="R61" s="529"/>
    </row>
    <row r="62" spans="1:18" ht="24" customHeight="1">
      <c r="A62" s="887"/>
      <c r="B62" s="887"/>
      <c r="C62" s="890"/>
      <c r="D62" s="891"/>
      <c r="E62" s="887"/>
      <c r="F62" s="887"/>
      <c r="G62" s="891"/>
      <c r="H62" s="1259"/>
      <c r="I62" s="614">
        <v>4133000</v>
      </c>
      <c r="J62" s="613">
        <v>4</v>
      </c>
      <c r="K62" s="614" t="s">
        <v>451</v>
      </c>
      <c r="L62" s="614" t="s">
        <v>479</v>
      </c>
      <c r="M62" s="678" t="s">
        <v>33</v>
      </c>
      <c r="N62" s="679">
        <f t="shared" si="3"/>
        <v>1835720</v>
      </c>
      <c r="P62" s="529"/>
      <c r="Q62" s="544"/>
      <c r="R62" s="529"/>
    </row>
    <row r="63" spans="1:18" ht="24" customHeight="1">
      <c r="A63" s="887"/>
      <c r="B63" s="887"/>
      <c r="C63" s="890"/>
      <c r="D63" s="891"/>
      <c r="E63" s="887"/>
      <c r="F63" s="887"/>
      <c r="G63" s="891"/>
      <c r="H63" s="1264" t="s">
        <v>525</v>
      </c>
      <c r="I63" s="600">
        <v>4192000</v>
      </c>
      <c r="J63" s="608">
        <v>11</v>
      </c>
      <c r="K63" s="609" t="s">
        <v>451</v>
      </c>
      <c r="L63" s="609" t="s">
        <v>479</v>
      </c>
      <c r="M63" s="676" t="s">
        <v>33</v>
      </c>
      <c r="N63" s="790">
        <f t="shared" si="3"/>
        <v>5118080</v>
      </c>
      <c r="P63" s="529"/>
      <c r="Q63" s="444"/>
      <c r="R63" s="529"/>
    </row>
    <row r="64" spans="1:18" ht="24" customHeight="1">
      <c r="A64" s="887"/>
      <c r="B64" s="887"/>
      <c r="C64" s="890"/>
      <c r="D64" s="891"/>
      <c r="E64" s="887"/>
      <c r="F64" s="887"/>
      <c r="G64" s="891"/>
      <c r="H64" s="1259"/>
      <c r="I64" s="614">
        <v>4250000</v>
      </c>
      <c r="J64" s="613">
        <v>1</v>
      </c>
      <c r="K64" s="614" t="s">
        <v>451</v>
      </c>
      <c r="L64" s="614" t="s">
        <v>479</v>
      </c>
      <c r="M64" s="678" t="s">
        <v>33</v>
      </c>
      <c r="N64" s="679">
        <f t="shared" si="3"/>
        <v>471530</v>
      </c>
      <c r="P64" s="529"/>
      <c r="Q64" s="544"/>
      <c r="R64" s="529"/>
    </row>
    <row r="65" spans="1:18" ht="24" customHeight="1">
      <c r="A65" s="887"/>
      <c r="B65" s="887"/>
      <c r="C65" s="890"/>
      <c r="D65" s="891"/>
      <c r="E65" s="887"/>
      <c r="F65" s="887"/>
      <c r="G65" s="891"/>
      <c r="H65" s="617" t="s">
        <v>531</v>
      </c>
      <c r="I65" s="620">
        <v>2965000</v>
      </c>
      <c r="J65" s="613">
        <v>12</v>
      </c>
      <c r="K65" s="626" t="s">
        <v>451</v>
      </c>
      <c r="L65" s="609" t="s">
        <v>479</v>
      </c>
      <c r="M65" s="682" t="s">
        <v>33</v>
      </c>
      <c r="N65" s="686">
        <f t="shared" si="3"/>
        <v>3998280</v>
      </c>
      <c r="P65" s="529"/>
      <c r="Q65" s="544"/>
      <c r="R65" s="529"/>
    </row>
    <row r="66" spans="1:18" ht="24" customHeight="1">
      <c r="A66" s="887"/>
      <c r="B66" s="887"/>
      <c r="C66" s="890"/>
      <c r="D66" s="891"/>
      <c r="E66" s="887"/>
      <c r="F66" s="887"/>
      <c r="G66" s="891"/>
      <c r="H66" s="1273" t="s">
        <v>530</v>
      </c>
      <c r="I66" s="600">
        <v>3042000</v>
      </c>
      <c r="J66" s="599">
        <v>4</v>
      </c>
      <c r="K66" s="609" t="s">
        <v>451</v>
      </c>
      <c r="L66" s="609" t="s">
        <v>479</v>
      </c>
      <c r="M66" s="676" t="s">
        <v>33</v>
      </c>
      <c r="N66" s="790">
        <f t="shared" si="3"/>
        <v>1365920</v>
      </c>
      <c r="P66" s="354"/>
      <c r="Q66" s="553"/>
      <c r="R66" s="529"/>
    </row>
    <row r="67" spans="1:18" ht="24" customHeight="1">
      <c r="A67" s="887"/>
      <c r="B67" s="887"/>
      <c r="C67" s="890"/>
      <c r="D67" s="891"/>
      <c r="E67" s="887"/>
      <c r="F67" s="887"/>
      <c r="G67" s="891"/>
      <c r="H67" s="1270"/>
      <c r="I67" s="614">
        <v>3119000</v>
      </c>
      <c r="J67" s="603">
        <v>8</v>
      </c>
      <c r="K67" s="614" t="s">
        <v>451</v>
      </c>
      <c r="L67" s="614" t="s">
        <v>479</v>
      </c>
      <c r="M67" s="678" t="s">
        <v>33</v>
      </c>
      <c r="N67" s="679">
        <f t="shared" si="3"/>
        <v>2798160</v>
      </c>
      <c r="P67" s="529"/>
      <c r="Q67" s="544"/>
      <c r="R67" s="529"/>
    </row>
    <row r="68" spans="1:18" ht="24" customHeight="1">
      <c r="A68" s="887"/>
      <c r="B68" s="887"/>
      <c r="C68" s="890"/>
      <c r="D68" s="891"/>
      <c r="E68" s="887"/>
      <c r="F68" s="887"/>
      <c r="G68" s="891"/>
      <c r="H68" s="1264" t="s">
        <v>530</v>
      </c>
      <c r="I68" s="600">
        <v>2650000</v>
      </c>
      <c r="J68" s="608">
        <v>11</v>
      </c>
      <c r="K68" s="609" t="s">
        <v>451</v>
      </c>
      <c r="L68" s="609" t="s">
        <v>479</v>
      </c>
      <c r="M68" s="676" t="s">
        <v>33</v>
      </c>
      <c r="N68" s="790">
        <f t="shared" si="3"/>
        <v>3292080</v>
      </c>
      <c r="P68" s="529"/>
      <c r="Q68" s="544"/>
      <c r="R68" s="529"/>
    </row>
    <row r="69" spans="1:18" ht="24" customHeight="1">
      <c r="A69" s="887"/>
      <c r="B69" s="887"/>
      <c r="C69" s="890"/>
      <c r="D69" s="891"/>
      <c r="E69" s="887"/>
      <c r="F69" s="887"/>
      <c r="G69" s="891"/>
      <c r="H69" s="1259"/>
      <c r="I69" s="614">
        <v>2746000</v>
      </c>
      <c r="J69" s="613">
        <v>1</v>
      </c>
      <c r="K69" s="614" t="s">
        <v>451</v>
      </c>
      <c r="L69" s="614" t="s">
        <v>479</v>
      </c>
      <c r="M69" s="678" t="s">
        <v>33</v>
      </c>
      <c r="N69" s="679">
        <f t="shared" si="3"/>
        <v>309610</v>
      </c>
      <c r="P69" s="529"/>
      <c r="Q69" s="544"/>
      <c r="R69" s="529"/>
    </row>
    <row r="70" spans="1:18" ht="24" customHeight="1">
      <c r="A70" s="887"/>
      <c r="B70" s="887"/>
      <c r="C70" s="890"/>
      <c r="D70" s="891"/>
      <c r="E70" s="887"/>
      <c r="F70" s="887"/>
      <c r="G70" s="891"/>
      <c r="H70" s="1264" t="s">
        <v>530</v>
      </c>
      <c r="I70" s="600">
        <v>3119000</v>
      </c>
      <c r="J70" s="599">
        <v>10</v>
      </c>
      <c r="K70" s="609" t="s">
        <v>451</v>
      </c>
      <c r="L70" s="609" t="s">
        <v>479</v>
      </c>
      <c r="M70" s="676" t="s">
        <v>33</v>
      </c>
      <c r="N70" s="790">
        <f t="shared" si="3"/>
        <v>3497700</v>
      </c>
      <c r="P70" s="529"/>
      <c r="Q70" s="544"/>
      <c r="R70" s="529"/>
    </row>
    <row r="71" spans="1:18" ht="24" customHeight="1">
      <c r="A71" s="887"/>
      <c r="B71" s="887"/>
      <c r="C71" s="890"/>
      <c r="D71" s="891"/>
      <c r="E71" s="887"/>
      <c r="F71" s="887"/>
      <c r="G71" s="891"/>
      <c r="H71" s="1259"/>
      <c r="I71" s="614">
        <v>3170000</v>
      </c>
      <c r="J71" s="613">
        <v>2</v>
      </c>
      <c r="K71" s="614" t="s">
        <v>451</v>
      </c>
      <c r="L71" s="614" t="s">
        <v>479</v>
      </c>
      <c r="M71" s="678" t="s">
        <v>33</v>
      </c>
      <c r="N71" s="679">
        <f t="shared" si="3"/>
        <v>710520</v>
      </c>
      <c r="P71" s="529"/>
      <c r="Q71" s="553"/>
      <c r="R71" s="529"/>
    </row>
    <row r="72" spans="1:18" ht="24" customHeight="1">
      <c r="A72" s="887"/>
      <c r="B72" s="887"/>
      <c r="C72" s="890"/>
      <c r="D72" s="891"/>
      <c r="E72" s="887"/>
      <c r="F72" s="887"/>
      <c r="G72" s="891"/>
      <c r="H72" s="1258" t="s">
        <v>532</v>
      </c>
      <c r="I72" s="600">
        <v>2460000</v>
      </c>
      <c r="J72" s="599">
        <v>4</v>
      </c>
      <c r="K72" s="600" t="s">
        <v>451</v>
      </c>
      <c r="L72" s="600" t="s">
        <v>479</v>
      </c>
      <c r="M72" s="848" t="s">
        <v>33</v>
      </c>
      <c r="N72" s="790">
        <f t="shared" si="3"/>
        <v>1115280</v>
      </c>
      <c r="P72" s="529"/>
      <c r="Q72" s="553"/>
      <c r="R72" s="529"/>
    </row>
    <row r="73" spans="1:18" ht="24" customHeight="1">
      <c r="A73" s="887"/>
      <c r="B73" s="887"/>
      <c r="C73" s="890"/>
      <c r="D73" s="891"/>
      <c r="E73" s="887"/>
      <c r="F73" s="887"/>
      <c r="G73" s="891"/>
      <c r="H73" s="1259"/>
      <c r="I73" s="614">
        <v>2484000</v>
      </c>
      <c r="J73" s="613">
        <v>8</v>
      </c>
      <c r="K73" s="614" t="s">
        <v>451</v>
      </c>
      <c r="L73" s="614" t="s">
        <v>479</v>
      </c>
      <c r="M73" s="678" t="s">
        <v>33</v>
      </c>
      <c r="N73" s="679">
        <f t="shared" si="3"/>
        <v>2251280</v>
      </c>
      <c r="P73" s="529"/>
      <c r="Q73" s="544"/>
      <c r="R73" s="529"/>
    </row>
    <row r="74" spans="1:18" ht="24" customHeight="1">
      <c r="A74" s="887"/>
      <c r="B74" s="887"/>
      <c r="C74" s="890"/>
      <c r="D74" s="891"/>
      <c r="E74" s="887"/>
      <c r="F74" s="887"/>
      <c r="G74" s="891"/>
      <c r="H74" s="623" t="s">
        <v>534</v>
      </c>
      <c r="I74" s="614">
        <v>3241000</v>
      </c>
      <c r="J74" s="625">
        <v>12</v>
      </c>
      <c r="K74" s="652" t="s">
        <v>451</v>
      </c>
      <c r="L74" s="609" t="s">
        <v>479</v>
      </c>
      <c r="M74" s="685" t="s">
        <v>33</v>
      </c>
      <c r="N74" s="686">
        <f t="shared" si="3"/>
        <v>4354800</v>
      </c>
    </row>
    <row r="75" spans="1:18" ht="24" customHeight="1">
      <c r="A75" s="887"/>
      <c r="B75" s="887"/>
      <c r="C75" s="890"/>
      <c r="D75" s="891"/>
      <c r="E75" s="887"/>
      <c r="F75" s="887"/>
      <c r="G75" s="891"/>
      <c r="H75" s="1264" t="s">
        <v>536</v>
      </c>
      <c r="I75" s="600">
        <v>2950000</v>
      </c>
      <c r="J75" s="608">
        <v>5</v>
      </c>
      <c r="K75" s="609" t="s">
        <v>451</v>
      </c>
      <c r="L75" s="609" t="s">
        <v>479</v>
      </c>
      <c r="M75" s="676" t="s">
        <v>33</v>
      </c>
      <c r="N75" s="790">
        <f t="shared" si="3"/>
        <v>1657850</v>
      </c>
    </row>
    <row r="76" spans="1:18" ht="24" customHeight="1">
      <c r="A76" s="887"/>
      <c r="B76" s="887"/>
      <c r="C76" s="890"/>
      <c r="D76" s="891"/>
      <c r="E76" s="887"/>
      <c r="F76" s="887"/>
      <c r="G76" s="891"/>
      <c r="H76" s="1259"/>
      <c r="I76" s="614">
        <v>2999000</v>
      </c>
      <c r="J76" s="613">
        <v>7</v>
      </c>
      <c r="K76" s="614" t="s">
        <v>451</v>
      </c>
      <c r="L76" s="614" t="s">
        <v>479</v>
      </c>
      <c r="M76" s="678" t="s">
        <v>33</v>
      </c>
      <c r="N76" s="679">
        <f t="shared" si="3"/>
        <v>2357950</v>
      </c>
    </row>
    <row r="77" spans="1:18" ht="24" customHeight="1">
      <c r="A77" s="887"/>
      <c r="B77" s="887"/>
      <c r="C77" s="890"/>
      <c r="D77" s="891"/>
      <c r="E77" s="887"/>
      <c r="F77" s="887"/>
      <c r="G77" s="891"/>
      <c r="H77" s="1273" t="s">
        <v>537</v>
      </c>
      <c r="I77" s="600">
        <v>2459000</v>
      </c>
      <c r="J77" s="599">
        <v>8</v>
      </c>
      <c r="K77" s="609" t="s">
        <v>451</v>
      </c>
      <c r="L77" s="609" t="s">
        <v>479</v>
      </c>
      <c r="M77" s="676" t="s">
        <v>33</v>
      </c>
      <c r="N77" s="790">
        <f t="shared" si="3"/>
        <v>2229760</v>
      </c>
    </row>
    <row r="78" spans="1:18" ht="24" customHeight="1">
      <c r="A78" s="887"/>
      <c r="B78" s="887"/>
      <c r="C78" s="890"/>
      <c r="D78" s="891"/>
      <c r="E78" s="887"/>
      <c r="F78" s="887"/>
      <c r="G78" s="891"/>
      <c r="H78" s="1270"/>
      <c r="I78" s="614">
        <v>2480000</v>
      </c>
      <c r="J78" s="603">
        <v>4</v>
      </c>
      <c r="K78" s="600" t="s">
        <v>451</v>
      </c>
      <c r="L78" s="600" t="s">
        <v>479</v>
      </c>
      <c r="M78" s="848" t="s">
        <v>33</v>
      </c>
      <c r="N78" s="679">
        <f t="shared" si="3"/>
        <v>1123920</v>
      </c>
    </row>
    <row r="79" spans="1:18" ht="24" customHeight="1">
      <c r="A79" s="887"/>
      <c r="B79" s="887"/>
      <c r="C79" s="890"/>
      <c r="D79" s="891"/>
      <c r="E79" s="887"/>
      <c r="F79" s="887"/>
      <c r="G79" s="891"/>
      <c r="H79" s="629" t="s">
        <v>537</v>
      </c>
      <c r="I79" s="614">
        <v>2459000</v>
      </c>
      <c r="J79" s="619">
        <v>12</v>
      </c>
      <c r="K79" s="620" t="s">
        <v>451</v>
      </c>
      <c r="L79" s="609" t="s">
        <v>479</v>
      </c>
      <c r="M79" s="685" t="s">
        <v>33</v>
      </c>
      <c r="N79" s="686">
        <f t="shared" si="3"/>
        <v>3344640</v>
      </c>
    </row>
    <row r="80" spans="1:18" ht="24" customHeight="1" thickBot="1">
      <c r="A80" s="887"/>
      <c r="B80" s="887"/>
      <c r="C80" s="890"/>
      <c r="D80" s="891"/>
      <c r="E80" s="887"/>
      <c r="F80" s="887"/>
      <c r="G80" s="891"/>
      <c r="H80" s="630" t="s">
        <v>539</v>
      </c>
      <c r="I80" s="614">
        <v>2528000</v>
      </c>
      <c r="J80" s="632">
        <v>12</v>
      </c>
      <c r="K80" s="633" t="s">
        <v>451</v>
      </c>
      <c r="L80" s="609" t="s">
        <v>479</v>
      </c>
      <c r="M80" s="687" t="s">
        <v>33</v>
      </c>
      <c r="N80" s="688">
        <f t="shared" si="3"/>
        <v>3433680</v>
      </c>
    </row>
    <row r="81" spans="1:14" ht="15" thickBot="1">
      <c r="A81" s="887"/>
      <c r="B81" s="887"/>
      <c r="C81" s="890"/>
      <c r="D81" s="885">
        <v>8280000</v>
      </c>
      <c r="E81" s="577">
        <f>N81</f>
        <v>9240000</v>
      </c>
      <c r="F81" s="591">
        <f>N81</f>
        <v>9240000</v>
      </c>
      <c r="G81" s="577">
        <f>E81-D81</f>
        <v>960000</v>
      </c>
      <c r="H81" s="591" t="s">
        <v>5</v>
      </c>
      <c r="I81" s="592"/>
      <c r="J81" s="593"/>
      <c r="K81" s="593"/>
      <c r="L81" s="594"/>
      <c r="M81" s="595"/>
      <c r="N81" s="780">
        <f>SUM(N83:N97)</f>
        <v>9240000</v>
      </c>
    </row>
    <row r="82" spans="1:14">
      <c r="A82" s="887"/>
      <c r="B82" s="887"/>
      <c r="C82" s="890"/>
      <c r="D82" s="891"/>
      <c r="E82" s="887"/>
      <c r="F82" s="887"/>
      <c r="G82" s="891"/>
      <c r="H82" s="689" t="s">
        <v>375</v>
      </c>
      <c r="I82" s="690" t="s">
        <v>376</v>
      </c>
      <c r="J82" s="691"/>
      <c r="K82" s="691"/>
      <c r="L82" s="690" t="s">
        <v>491</v>
      </c>
      <c r="M82" s="714"/>
      <c r="N82" s="583" t="s">
        <v>37</v>
      </c>
    </row>
    <row r="83" spans="1:14" ht="24" customHeight="1">
      <c r="A83" s="887"/>
      <c r="B83" s="887"/>
      <c r="C83" s="890"/>
      <c r="D83" s="891"/>
      <c r="E83" s="887"/>
      <c r="F83" s="887"/>
      <c r="G83" s="891"/>
      <c r="H83" s="1254" t="s">
        <v>528</v>
      </c>
      <c r="I83" s="609">
        <v>40000</v>
      </c>
      <c r="J83" s="608">
        <v>12</v>
      </c>
      <c r="K83" s="609" t="s">
        <v>451</v>
      </c>
      <c r="L83" s="609" t="s">
        <v>480</v>
      </c>
      <c r="M83" s="1260" t="s">
        <v>33</v>
      </c>
      <c r="N83" s="974">
        <f t="shared" ref="N83:N97" si="4">I83*J83</f>
        <v>480000</v>
      </c>
    </row>
    <row r="84" spans="1:14" ht="24" customHeight="1">
      <c r="A84" s="887"/>
      <c r="B84" s="887"/>
      <c r="C84" s="890"/>
      <c r="D84" s="891"/>
      <c r="E84" s="887"/>
      <c r="F84" s="887"/>
      <c r="G84" s="891"/>
      <c r="H84" s="1255"/>
      <c r="I84" s="697">
        <v>20000</v>
      </c>
      <c r="J84" s="696">
        <v>12</v>
      </c>
      <c r="K84" s="697" t="s">
        <v>451</v>
      </c>
      <c r="L84" s="697" t="s">
        <v>482</v>
      </c>
      <c r="M84" s="1257"/>
      <c r="N84" s="707">
        <f t="shared" si="4"/>
        <v>240000</v>
      </c>
    </row>
    <row r="85" spans="1:14" ht="24" customHeight="1">
      <c r="A85" s="887"/>
      <c r="B85" s="887"/>
      <c r="C85" s="890"/>
      <c r="D85" s="891"/>
      <c r="E85" s="887"/>
      <c r="F85" s="887"/>
      <c r="G85" s="891"/>
      <c r="H85" s="655" t="s">
        <v>524</v>
      </c>
      <c r="I85" s="609">
        <v>40000</v>
      </c>
      <c r="J85" s="608">
        <v>12</v>
      </c>
      <c r="K85" s="609" t="s">
        <v>451</v>
      </c>
      <c r="L85" s="609" t="s">
        <v>480</v>
      </c>
      <c r="M85" s="1030" t="s">
        <v>33</v>
      </c>
      <c r="N85" s="974">
        <f t="shared" si="4"/>
        <v>480000</v>
      </c>
    </row>
    <row r="86" spans="1:14" ht="24.6" customHeight="1">
      <c r="A86" s="887"/>
      <c r="B86" s="887"/>
      <c r="C86" s="890"/>
      <c r="D86" s="891"/>
      <c r="E86" s="887"/>
      <c r="F86" s="887"/>
      <c r="G86" s="891"/>
      <c r="H86" s="1275" t="s">
        <v>524</v>
      </c>
      <c r="I86" s="609">
        <v>40000</v>
      </c>
      <c r="J86" s="608">
        <v>12</v>
      </c>
      <c r="K86" s="609" t="s">
        <v>451</v>
      </c>
      <c r="L86" s="609" t="s">
        <v>480</v>
      </c>
      <c r="M86" s="1263" t="s">
        <v>33</v>
      </c>
      <c r="N86" s="974">
        <f t="shared" si="4"/>
        <v>480000</v>
      </c>
    </row>
    <row r="87" spans="1:14" ht="24.6" customHeight="1">
      <c r="A87" s="887"/>
      <c r="B87" s="887"/>
      <c r="C87" s="890"/>
      <c r="D87" s="891"/>
      <c r="E87" s="887"/>
      <c r="F87" s="887"/>
      <c r="G87" s="891"/>
      <c r="H87" s="1276"/>
      <c r="I87" s="626">
        <v>50000</v>
      </c>
      <c r="J87" s="681">
        <v>12</v>
      </c>
      <c r="K87" s="626" t="s">
        <v>451</v>
      </c>
      <c r="L87" s="626" t="s">
        <v>576</v>
      </c>
      <c r="M87" s="1260"/>
      <c r="N87" s="707">
        <f t="shared" si="4"/>
        <v>600000</v>
      </c>
    </row>
    <row r="88" spans="1:14" ht="24.6" customHeight="1">
      <c r="A88" s="887"/>
      <c r="B88" s="887"/>
      <c r="C88" s="890"/>
      <c r="D88" s="891"/>
      <c r="E88" s="887"/>
      <c r="F88" s="887"/>
      <c r="G88" s="891"/>
      <c r="H88" s="1254" t="s">
        <v>530</v>
      </c>
      <c r="I88" s="658">
        <v>40000</v>
      </c>
      <c r="J88" s="657">
        <v>12</v>
      </c>
      <c r="K88" s="658" t="s">
        <v>451</v>
      </c>
      <c r="L88" s="658" t="s">
        <v>480</v>
      </c>
      <c r="M88" s="1263" t="s">
        <v>33</v>
      </c>
      <c r="N88" s="974">
        <f t="shared" si="4"/>
        <v>480000</v>
      </c>
    </row>
    <row r="89" spans="1:14" ht="24.6" customHeight="1">
      <c r="A89" s="887"/>
      <c r="B89" s="887"/>
      <c r="C89" s="890"/>
      <c r="D89" s="891"/>
      <c r="E89" s="887"/>
      <c r="F89" s="887"/>
      <c r="G89" s="891"/>
      <c r="H89" s="1258"/>
      <c r="I89" s="604">
        <v>40000</v>
      </c>
      <c r="J89" s="603">
        <v>12</v>
      </c>
      <c r="K89" s="604" t="s">
        <v>451</v>
      </c>
      <c r="L89" s="604" t="s">
        <v>481</v>
      </c>
      <c r="M89" s="1260"/>
      <c r="N89" s="975">
        <f t="shared" si="4"/>
        <v>480000</v>
      </c>
    </row>
    <row r="90" spans="1:14" ht="24" customHeight="1">
      <c r="A90" s="887"/>
      <c r="B90" s="887"/>
      <c r="C90" s="890"/>
      <c r="D90" s="891"/>
      <c r="E90" s="887"/>
      <c r="F90" s="887"/>
      <c r="G90" s="891"/>
      <c r="H90" s="1255"/>
      <c r="I90" s="614">
        <v>250000</v>
      </c>
      <c r="J90" s="613">
        <v>12</v>
      </c>
      <c r="K90" s="614" t="s">
        <v>451</v>
      </c>
      <c r="L90" s="614" t="s">
        <v>483</v>
      </c>
      <c r="M90" s="1257"/>
      <c r="N90" s="707">
        <f t="shared" si="4"/>
        <v>3000000</v>
      </c>
    </row>
    <row r="91" spans="1:14" ht="24" customHeight="1">
      <c r="A91" s="887"/>
      <c r="B91" s="887"/>
      <c r="C91" s="890"/>
      <c r="D91" s="891"/>
      <c r="E91" s="887"/>
      <c r="F91" s="887"/>
      <c r="G91" s="891"/>
      <c r="H91" s="1254" t="s">
        <v>530</v>
      </c>
      <c r="I91" s="658">
        <v>40000</v>
      </c>
      <c r="J91" s="657">
        <v>12</v>
      </c>
      <c r="K91" s="658" t="s">
        <v>451</v>
      </c>
      <c r="L91" s="658" t="s">
        <v>480</v>
      </c>
      <c r="M91" s="1263" t="s">
        <v>33</v>
      </c>
      <c r="N91" s="974">
        <f t="shared" si="4"/>
        <v>480000</v>
      </c>
    </row>
    <row r="92" spans="1:14" ht="24" customHeight="1">
      <c r="A92" s="887"/>
      <c r="B92" s="887"/>
      <c r="C92" s="890"/>
      <c r="D92" s="891"/>
      <c r="E92" s="887"/>
      <c r="F92" s="887"/>
      <c r="G92" s="891"/>
      <c r="H92" s="1258"/>
      <c r="I92" s="604">
        <v>50000</v>
      </c>
      <c r="J92" s="603">
        <v>12</v>
      </c>
      <c r="K92" s="604" t="s">
        <v>451</v>
      </c>
      <c r="L92" s="604" t="s">
        <v>576</v>
      </c>
      <c r="M92" s="1260"/>
      <c r="N92" s="974">
        <f t="shared" si="4"/>
        <v>600000</v>
      </c>
    </row>
    <row r="93" spans="1:14" ht="24.6" customHeight="1">
      <c r="A93" s="887"/>
      <c r="B93" s="887"/>
      <c r="C93" s="890"/>
      <c r="D93" s="891"/>
      <c r="E93" s="887"/>
      <c r="F93" s="887"/>
      <c r="G93" s="891"/>
      <c r="H93" s="655" t="s">
        <v>532</v>
      </c>
      <c r="I93" s="620">
        <v>20000</v>
      </c>
      <c r="J93" s="619">
        <v>12</v>
      </c>
      <c r="K93" s="620" t="s">
        <v>451</v>
      </c>
      <c r="L93" s="620" t="s">
        <v>610</v>
      </c>
      <c r="M93" s="1030" t="s">
        <v>33</v>
      </c>
      <c r="N93" s="1053">
        <f t="shared" si="4"/>
        <v>240000</v>
      </c>
    </row>
    <row r="94" spans="1:14" ht="24.6" customHeight="1">
      <c r="A94" s="887"/>
      <c r="B94" s="887"/>
      <c r="C94" s="890"/>
      <c r="D94" s="891"/>
      <c r="E94" s="887"/>
      <c r="F94" s="887"/>
      <c r="G94" s="891"/>
      <c r="H94" s="1254" t="s">
        <v>535</v>
      </c>
      <c r="I94" s="658">
        <v>40000</v>
      </c>
      <c r="J94" s="657">
        <v>12</v>
      </c>
      <c r="K94" s="658" t="s">
        <v>451</v>
      </c>
      <c r="L94" s="658" t="s">
        <v>480</v>
      </c>
      <c r="M94" s="1263" t="s">
        <v>33</v>
      </c>
      <c r="N94" s="974">
        <f t="shared" si="4"/>
        <v>480000</v>
      </c>
    </row>
    <row r="95" spans="1:14" ht="24.6" customHeight="1">
      <c r="A95" s="887"/>
      <c r="B95" s="887"/>
      <c r="C95" s="890"/>
      <c r="D95" s="891"/>
      <c r="E95" s="887"/>
      <c r="F95" s="887"/>
      <c r="G95" s="891"/>
      <c r="H95" s="1255"/>
      <c r="I95" s="604">
        <v>20000</v>
      </c>
      <c r="J95" s="603">
        <v>12</v>
      </c>
      <c r="K95" s="604" t="s">
        <v>451</v>
      </c>
      <c r="L95" s="604" t="s">
        <v>482</v>
      </c>
      <c r="M95" s="1260"/>
      <c r="N95" s="707">
        <f t="shared" si="4"/>
        <v>240000</v>
      </c>
    </row>
    <row r="96" spans="1:14" ht="24.6" customHeight="1">
      <c r="A96" s="887"/>
      <c r="B96" s="887"/>
      <c r="C96" s="890"/>
      <c r="D96" s="891"/>
      <c r="E96" s="887"/>
      <c r="F96" s="887"/>
      <c r="G96" s="891"/>
      <c r="H96" s="629" t="s">
        <v>533</v>
      </c>
      <c r="I96" s="620">
        <v>20000</v>
      </c>
      <c r="J96" s="619">
        <v>12</v>
      </c>
      <c r="K96" s="620" t="s">
        <v>451</v>
      </c>
      <c r="L96" s="620" t="s">
        <v>482</v>
      </c>
      <c r="M96" s="702" t="s">
        <v>33</v>
      </c>
      <c r="N96" s="707">
        <f t="shared" si="4"/>
        <v>240000</v>
      </c>
    </row>
    <row r="97" spans="1:14" ht="24.6" customHeight="1" thickBot="1">
      <c r="A97" s="887"/>
      <c r="B97" s="887"/>
      <c r="C97" s="890"/>
      <c r="D97" s="891"/>
      <c r="E97" s="887"/>
      <c r="F97" s="887"/>
      <c r="G97" s="891"/>
      <c r="H97" s="630" t="s">
        <v>539</v>
      </c>
      <c r="I97" s="633">
        <v>60000</v>
      </c>
      <c r="J97" s="632">
        <v>12</v>
      </c>
      <c r="K97" s="600" t="s">
        <v>451</v>
      </c>
      <c r="L97" s="633" t="s">
        <v>490</v>
      </c>
      <c r="M97" s="694" t="s">
        <v>33</v>
      </c>
      <c r="N97" s="707">
        <f t="shared" si="4"/>
        <v>720000</v>
      </c>
    </row>
    <row r="98" spans="1:14" ht="13.5" customHeight="1" thickBot="1">
      <c r="A98" s="887"/>
      <c r="B98" s="887"/>
      <c r="C98" s="890"/>
      <c r="D98" s="885">
        <v>58114200</v>
      </c>
      <c r="E98" s="577">
        <f>N98</f>
        <v>59836800</v>
      </c>
      <c r="F98" s="780">
        <f>N98</f>
        <v>59836800</v>
      </c>
      <c r="G98" s="577">
        <f>E98-D98</f>
        <v>1722600</v>
      </c>
      <c r="H98" s="591" t="s">
        <v>7</v>
      </c>
      <c r="I98" s="592"/>
      <c r="J98" s="593"/>
      <c r="K98" s="593"/>
      <c r="L98" s="594"/>
      <c r="M98" s="595"/>
      <c r="N98" s="908">
        <f>SUM(N100:N121)</f>
        <v>59836800</v>
      </c>
    </row>
    <row r="99" spans="1:14" ht="13.5" customHeight="1">
      <c r="A99" s="887"/>
      <c r="B99" s="887"/>
      <c r="C99" s="891"/>
      <c r="D99" s="892"/>
      <c r="E99" s="887"/>
      <c r="F99" s="887"/>
      <c r="G99" s="891"/>
      <c r="H99" s="711" t="s">
        <v>375</v>
      </c>
      <c r="I99" s="712" t="s">
        <v>376</v>
      </c>
      <c r="J99" s="713"/>
      <c r="K99" s="713"/>
      <c r="L99" s="712" t="s">
        <v>491</v>
      </c>
      <c r="M99" s="714"/>
      <c r="N99" s="1020" t="s">
        <v>37</v>
      </c>
    </row>
    <row r="100" spans="1:14" ht="24.95" customHeight="1">
      <c r="A100" s="887"/>
      <c r="B100" s="887"/>
      <c r="C100" s="891"/>
      <c r="D100" s="887"/>
      <c r="E100" s="887"/>
      <c r="F100" s="887"/>
      <c r="G100" s="891"/>
      <c r="H100" s="715" t="s">
        <v>528</v>
      </c>
      <c r="I100" s="658">
        <v>5592000</v>
      </c>
      <c r="J100" s="658">
        <v>1</v>
      </c>
      <c r="K100" s="658" t="s">
        <v>453</v>
      </c>
      <c r="L100" s="658" t="s">
        <v>486</v>
      </c>
      <c r="M100" s="700" t="s">
        <v>33</v>
      </c>
      <c r="N100" s="686">
        <f>I100*1.2</f>
        <v>6710400</v>
      </c>
    </row>
    <row r="101" spans="1:14" ht="24.95" customHeight="1">
      <c r="A101" s="887"/>
      <c r="B101" s="887"/>
      <c r="C101" s="891"/>
      <c r="D101" s="887"/>
      <c r="E101" s="887"/>
      <c r="F101" s="887"/>
      <c r="G101" s="891"/>
      <c r="H101" s="1254" t="s">
        <v>526</v>
      </c>
      <c r="I101" s="609">
        <v>3657000</v>
      </c>
      <c r="J101" s="609">
        <v>1</v>
      </c>
      <c r="K101" s="609" t="s">
        <v>453</v>
      </c>
      <c r="L101" s="609" t="s">
        <v>484</v>
      </c>
      <c r="M101" s="1263" t="s">
        <v>33</v>
      </c>
      <c r="N101" s="717">
        <f>I101*0.6</f>
        <v>2194200</v>
      </c>
    </row>
    <row r="102" spans="1:14" ht="24.95" customHeight="1">
      <c r="A102" s="887"/>
      <c r="B102" s="887"/>
      <c r="C102" s="891"/>
      <c r="D102" s="887"/>
      <c r="E102" s="887"/>
      <c r="F102" s="887"/>
      <c r="G102" s="891"/>
      <c r="H102" s="1255"/>
      <c r="I102" s="614">
        <v>3720000</v>
      </c>
      <c r="J102" s="614">
        <v>1</v>
      </c>
      <c r="K102" s="614" t="s">
        <v>453</v>
      </c>
      <c r="L102" s="614" t="s">
        <v>484</v>
      </c>
      <c r="M102" s="1257"/>
      <c r="N102" s="679">
        <f>I102*0.6</f>
        <v>2232000</v>
      </c>
    </row>
    <row r="103" spans="1:14" ht="24.95" customHeight="1">
      <c r="A103" s="887"/>
      <c r="B103" s="887"/>
      <c r="C103" s="891"/>
      <c r="D103" s="887"/>
      <c r="E103" s="887"/>
      <c r="F103" s="887"/>
      <c r="G103" s="891"/>
      <c r="H103" s="1254" t="s">
        <v>524</v>
      </c>
      <c r="I103" s="600">
        <v>4303000</v>
      </c>
      <c r="J103" s="600">
        <v>1</v>
      </c>
      <c r="K103" s="600" t="s">
        <v>453</v>
      </c>
      <c r="L103" s="600" t="s">
        <v>484</v>
      </c>
      <c r="M103" s="1263" t="s">
        <v>33</v>
      </c>
      <c r="N103" s="683">
        <f t="shared" ref="N103:N106" si="5">I103*0.6</f>
        <v>2581800</v>
      </c>
    </row>
    <row r="104" spans="1:14" ht="24.95" customHeight="1">
      <c r="A104" s="887"/>
      <c r="B104" s="887"/>
      <c r="C104" s="891"/>
      <c r="D104" s="887"/>
      <c r="E104" s="887"/>
      <c r="F104" s="887"/>
      <c r="G104" s="891"/>
      <c r="H104" s="1255"/>
      <c r="I104" s="604">
        <v>4360000</v>
      </c>
      <c r="J104" s="604">
        <v>1</v>
      </c>
      <c r="K104" s="604" t="s">
        <v>453</v>
      </c>
      <c r="L104" s="604" t="s">
        <v>484</v>
      </c>
      <c r="M104" s="1257"/>
      <c r="N104" s="675">
        <f>I104*0.6</f>
        <v>2616000</v>
      </c>
    </row>
    <row r="105" spans="1:14" ht="24.95" customHeight="1">
      <c r="A105" s="887"/>
      <c r="B105" s="887"/>
      <c r="C105" s="891"/>
      <c r="D105" s="887"/>
      <c r="E105" s="887"/>
      <c r="F105" s="887"/>
      <c r="G105" s="891"/>
      <c r="H105" s="1254" t="s">
        <v>524</v>
      </c>
      <c r="I105" s="609">
        <v>4070000</v>
      </c>
      <c r="J105" s="609">
        <v>1</v>
      </c>
      <c r="K105" s="609" t="s">
        <v>453</v>
      </c>
      <c r="L105" s="609" t="s">
        <v>484</v>
      </c>
      <c r="M105" s="1263" t="s">
        <v>33</v>
      </c>
      <c r="N105" s="717">
        <f t="shared" si="5"/>
        <v>2442000</v>
      </c>
    </row>
    <row r="106" spans="1:14" ht="24.95" customHeight="1">
      <c r="A106" s="887"/>
      <c r="B106" s="887"/>
      <c r="C106" s="891"/>
      <c r="D106" s="887"/>
      <c r="E106" s="887"/>
      <c r="F106" s="887"/>
      <c r="G106" s="891"/>
      <c r="H106" s="1255"/>
      <c r="I106" s="614">
        <v>4133000</v>
      </c>
      <c r="J106" s="614">
        <v>1</v>
      </c>
      <c r="K106" s="614" t="s">
        <v>453</v>
      </c>
      <c r="L106" s="614" t="s">
        <v>484</v>
      </c>
      <c r="M106" s="1257"/>
      <c r="N106" s="679">
        <f t="shared" si="5"/>
        <v>2479800</v>
      </c>
    </row>
    <row r="107" spans="1:14" ht="24.95" customHeight="1">
      <c r="A107" s="887"/>
      <c r="B107" s="887"/>
      <c r="C107" s="891"/>
      <c r="D107" s="887"/>
      <c r="E107" s="887"/>
      <c r="F107" s="887"/>
      <c r="G107" s="891"/>
      <c r="H107" s="617" t="s">
        <v>524</v>
      </c>
      <c r="I107" s="620">
        <v>4192000</v>
      </c>
      <c r="J107" s="620">
        <v>1</v>
      </c>
      <c r="K107" s="620" t="s">
        <v>453</v>
      </c>
      <c r="L107" s="620" t="s">
        <v>485</v>
      </c>
      <c r="M107" s="702" t="s">
        <v>33</v>
      </c>
      <c r="N107" s="686">
        <f>I107*1.2</f>
        <v>5030400</v>
      </c>
    </row>
    <row r="108" spans="1:14" ht="24.95" customHeight="1">
      <c r="A108" s="887"/>
      <c r="B108" s="887"/>
      <c r="C108" s="891"/>
      <c r="D108" s="887"/>
      <c r="E108" s="887"/>
      <c r="F108" s="887"/>
      <c r="G108" s="891"/>
      <c r="H108" s="680" t="s">
        <v>530</v>
      </c>
      <c r="I108" s="626">
        <v>2965000</v>
      </c>
      <c r="J108" s="626">
        <v>1</v>
      </c>
      <c r="K108" s="626" t="s">
        <v>453</v>
      </c>
      <c r="L108" s="626" t="s">
        <v>486</v>
      </c>
      <c r="M108" s="700" t="s">
        <v>33</v>
      </c>
      <c r="N108" s="976">
        <f>I108*1.2</f>
        <v>3558000</v>
      </c>
    </row>
    <row r="109" spans="1:14" ht="24.95" customHeight="1">
      <c r="A109" s="887"/>
      <c r="B109" s="887"/>
      <c r="C109" s="891"/>
      <c r="D109" s="887"/>
      <c r="E109" s="887"/>
      <c r="F109" s="887"/>
      <c r="G109" s="891"/>
      <c r="H109" s="1254" t="s">
        <v>530</v>
      </c>
      <c r="I109" s="609">
        <v>3042000</v>
      </c>
      <c r="J109" s="609">
        <v>1</v>
      </c>
      <c r="K109" s="609" t="s">
        <v>453</v>
      </c>
      <c r="L109" s="718" t="s">
        <v>484</v>
      </c>
      <c r="M109" s="1263" t="s">
        <v>33</v>
      </c>
      <c r="N109" s="683">
        <f t="shared" ref="N109:N110" si="6">I109*0.6</f>
        <v>1825200</v>
      </c>
    </row>
    <row r="110" spans="1:14" ht="24.95" customHeight="1">
      <c r="A110" s="887"/>
      <c r="B110" s="887"/>
      <c r="C110" s="891"/>
      <c r="D110" s="887"/>
      <c r="E110" s="887"/>
      <c r="F110" s="887"/>
      <c r="G110" s="891"/>
      <c r="H110" s="1255"/>
      <c r="I110" s="614">
        <v>3119000</v>
      </c>
      <c r="J110" s="614">
        <v>1</v>
      </c>
      <c r="K110" s="614" t="s">
        <v>453</v>
      </c>
      <c r="L110" s="719" t="s">
        <v>484</v>
      </c>
      <c r="M110" s="1257"/>
      <c r="N110" s="675">
        <f t="shared" si="6"/>
        <v>1871400</v>
      </c>
    </row>
    <row r="111" spans="1:14" ht="24.95" customHeight="1">
      <c r="A111" s="887"/>
      <c r="B111" s="887"/>
      <c r="C111" s="891"/>
      <c r="D111" s="887"/>
      <c r="E111" s="887"/>
      <c r="F111" s="887"/>
      <c r="G111" s="891"/>
      <c r="H111" s="680" t="s">
        <v>530</v>
      </c>
      <c r="I111" s="626">
        <v>2650000</v>
      </c>
      <c r="J111" s="626">
        <v>1</v>
      </c>
      <c r="K111" s="626" t="s">
        <v>453</v>
      </c>
      <c r="L111" s="626" t="s">
        <v>485</v>
      </c>
      <c r="M111" s="700" t="s">
        <v>33</v>
      </c>
      <c r="N111" s="686">
        <f>I111*1.2</f>
        <v>3180000</v>
      </c>
    </row>
    <row r="112" spans="1:14" ht="24.95" customHeight="1">
      <c r="A112" s="887"/>
      <c r="B112" s="887"/>
      <c r="C112" s="891"/>
      <c r="D112" s="887"/>
      <c r="E112" s="887"/>
      <c r="F112" s="887"/>
      <c r="G112" s="891"/>
      <c r="H112" s="617" t="s">
        <v>530</v>
      </c>
      <c r="I112" s="620">
        <v>3119000</v>
      </c>
      <c r="J112" s="620">
        <v>1</v>
      </c>
      <c r="K112" s="620" t="s">
        <v>453</v>
      </c>
      <c r="L112" s="620" t="s">
        <v>485</v>
      </c>
      <c r="M112" s="702" t="s">
        <v>33</v>
      </c>
      <c r="N112" s="686">
        <f>I112*1.2</f>
        <v>3742800</v>
      </c>
    </row>
    <row r="113" spans="1:17" ht="24.95" customHeight="1">
      <c r="A113" s="887"/>
      <c r="B113" s="887"/>
      <c r="C113" s="891"/>
      <c r="D113" s="887"/>
      <c r="E113" s="887"/>
      <c r="F113" s="887"/>
      <c r="G113" s="891"/>
      <c r="H113" s="606" t="s">
        <v>540</v>
      </c>
      <c r="I113" s="609">
        <v>2460000</v>
      </c>
      <c r="J113" s="609">
        <v>1</v>
      </c>
      <c r="K113" s="609" t="s">
        <v>577</v>
      </c>
      <c r="L113" s="609" t="s">
        <v>484</v>
      </c>
      <c r="M113" s="693" t="s">
        <v>448</v>
      </c>
      <c r="N113" s="677">
        <f>I113*0.6</f>
        <v>1476000</v>
      </c>
    </row>
    <row r="114" spans="1:17" ht="24.95" customHeight="1">
      <c r="A114" s="887"/>
      <c r="B114" s="887"/>
      <c r="C114" s="891"/>
      <c r="D114" s="887"/>
      <c r="E114" s="887"/>
      <c r="F114" s="887"/>
      <c r="G114" s="891"/>
      <c r="H114" s="972" t="s">
        <v>540</v>
      </c>
      <c r="I114" s="697">
        <v>2484000</v>
      </c>
      <c r="J114" s="697">
        <v>1</v>
      </c>
      <c r="K114" s="697" t="s">
        <v>453</v>
      </c>
      <c r="L114" s="697" t="s">
        <v>484</v>
      </c>
      <c r="M114" s="698" t="s">
        <v>33</v>
      </c>
      <c r="N114" s="976">
        <f>I114*0.6</f>
        <v>1490400</v>
      </c>
    </row>
    <row r="115" spans="1:17" ht="24.95" customHeight="1">
      <c r="A115" s="887"/>
      <c r="B115" s="887"/>
      <c r="C115" s="891"/>
      <c r="D115" s="887"/>
      <c r="E115" s="887"/>
      <c r="F115" s="887"/>
      <c r="G115" s="891"/>
      <c r="H115" s="680" t="s">
        <v>533</v>
      </c>
      <c r="I115" s="626">
        <v>3241000</v>
      </c>
      <c r="J115" s="626">
        <v>1</v>
      </c>
      <c r="K115" s="626" t="s">
        <v>453</v>
      </c>
      <c r="L115" s="626" t="s">
        <v>485</v>
      </c>
      <c r="M115" s="700" t="s">
        <v>33</v>
      </c>
      <c r="N115" s="686">
        <f>I115*1.2</f>
        <v>3889200</v>
      </c>
    </row>
    <row r="116" spans="1:17" ht="24.95" customHeight="1">
      <c r="A116" s="887"/>
      <c r="B116" s="887"/>
      <c r="C116" s="891"/>
      <c r="D116" s="887"/>
      <c r="E116" s="887"/>
      <c r="F116" s="887"/>
      <c r="G116" s="891"/>
      <c r="H116" s="1261" t="s">
        <v>535</v>
      </c>
      <c r="I116" s="609">
        <v>2950000</v>
      </c>
      <c r="J116" s="609">
        <v>1</v>
      </c>
      <c r="K116" s="609" t="s">
        <v>453</v>
      </c>
      <c r="L116" s="718" t="s">
        <v>484</v>
      </c>
      <c r="M116" s="693" t="s">
        <v>33</v>
      </c>
      <c r="N116" s="683">
        <f t="shared" ref="N116:N119" si="7">I116*0.6</f>
        <v>1770000</v>
      </c>
    </row>
    <row r="117" spans="1:17" ht="24.95" customHeight="1">
      <c r="A117" s="887"/>
      <c r="B117" s="887"/>
      <c r="C117" s="891"/>
      <c r="D117" s="887"/>
      <c r="E117" s="887"/>
      <c r="F117" s="887"/>
      <c r="G117" s="891"/>
      <c r="H117" s="1262"/>
      <c r="I117" s="614">
        <v>2999000</v>
      </c>
      <c r="J117" s="614">
        <v>1</v>
      </c>
      <c r="K117" s="614" t="s">
        <v>453</v>
      </c>
      <c r="L117" s="719" t="s">
        <v>484</v>
      </c>
      <c r="M117" s="698" t="s">
        <v>33</v>
      </c>
      <c r="N117" s="679">
        <f t="shared" si="7"/>
        <v>1799400</v>
      </c>
    </row>
    <row r="118" spans="1:17" ht="24.95" customHeight="1">
      <c r="A118" s="887"/>
      <c r="B118" s="887"/>
      <c r="C118" s="891"/>
      <c r="D118" s="887"/>
      <c r="E118" s="887"/>
      <c r="F118" s="887"/>
      <c r="G118" s="891"/>
      <c r="H118" s="1254" t="s">
        <v>538</v>
      </c>
      <c r="I118" s="609">
        <v>2459000</v>
      </c>
      <c r="J118" s="609">
        <v>1</v>
      </c>
      <c r="K118" s="609" t="s">
        <v>453</v>
      </c>
      <c r="L118" s="718" t="s">
        <v>484</v>
      </c>
      <c r="M118" s="1263" t="s">
        <v>33</v>
      </c>
      <c r="N118" s="683">
        <f t="shared" si="7"/>
        <v>1475400</v>
      </c>
    </row>
    <row r="119" spans="1:17" ht="24.95" customHeight="1">
      <c r="A119" s="887"/>
      <c r="B119" s="887"/>
      <c r="C119" s="891"/>
      <c r="D119" s="887"/>
      <c r="E119" s="887"/>
      <c r="F119" s="887"/>
      <c r="G119" s="891"/>
      <c r="H119" s="1255"/>
      <c r="I119" s="614">
        <v>2480000</v>
      </c>
      <c r="J119" s="614">
        <v>1</v>
      </c>
      <c r="K119" s="614" t="s">
        <v>453</v>
      </c>
      <c r="L119" s="719" t="s">
        <v>484</v>
      </c>
      <c r="M119" s="1257"/>
      <c r="N119" s="675">
        <f t="shared" si="7"/>
        <v>1488000</v>
      </c>
    </row>
    <row r="120" spans="1:17" ht="24.95" customHeight="1">
      <c r="A120" s="887"/>
      <c r="B120" s="887"/>
      <c r="C120" s="891"/>
      <c r="D120" s="887"/>
      <c r="E120" s="887"/>
      <c r="F120" s="887"/>
      <c r="G120" s="891"/>
      <c r="H120" s="629" t="s">
        <v>537</v>
      </c>
      <c r="I120" s="620">
        <v>2459000</v>
      </c>
      <c r="J120" s="620">
        <v>1</v>
      </c>
      <c r="K120" s="620" t="s">
        <v>453</v>
      </c>
      <c r="L120" s="620" t="s">
        <v>485</v>
      </c>
      <c r="M120" s="702" t="s">
        <v>33</v>
      </c>
      <c r="N120" s="686">
        <f>I120*1.2</f>
        <v>2950800</v>
      </c>
    </row>
    <row r="121" spans="1:17" ht="24.75" customHeight="1" thickBot="1">
      <c r="A121" s="887"/>
      <c r="B121" s="887"/>
      <c r="C121" s="891"/>
      <c r="D121" s="893"/>
      <c r="E121" s="887"/>
      <c r="F121" s="887"/>
      <c r="G121" s="891"/>
      <c r="H121" s="630" t="s">
        <v>539</v>
      </c>
      <c r="I121" s="633">
        <v>2528000</v>
      </c>
      <c r="J121" s="633">
        <v>1</v>
      </c>
      <c r="K121" s="633" t="s">
        <v>453</v>
      </c>
      <c r="L121" s="633" t="s">
        <v>485</v>
      </c>
      <c r="M121" s="694" t="s">
        <v>33</v>
      </c>
      <c r="N121" s="686">
        <f>I121*1.2</f>
        <v>3033600</v>
      </c>
    </row>
    <row r="122" spans="1:17" ht="15" thickBot="1">
      <c r="A122" s="887"/>
      <c r="B122" s="887"/>
      <c r="C122" s="891"/>
      <c r="D122" s="577">
        <v>3650000</v>
      </c>
      <c r="E122" s="577">
        <f>N122</f>
        <v>3650000</v>
      </c>
      <c r="F122" s="780">
        <f>N122</f>
        <v>3650000</v>
      </c>
      <c r="G122" s="577">
        <f>E122-D122</f>
        <v>0</v>
      </c>
      <c r="H122" s="591" t="s">
        <v>588</v>
      </c>
      <c r="I122" s="592"/>
      <c r="J122" s="593"/>
      <c r="K122" s="593"/>
      <c r="L122" s="594"/>
      <c r="M122" s="595"/>
      <c r="N122" s="780">
        <f>SUM(N123)</f>
        <v>3650000</v>
      </c>
    </row>
    <row r="123" spans="1:17" ht="19.5" customHeight="1" thickBot="1">
      <c r="A123" s="887"/>
      <c r="B123" s="887"/>
      <c r="C123" s="891"/>
      <c r="D123" s="893"/>
      <c r="E123" s="887"/>
      <c r="F123" s="887"/>
      <c r="G123" s="891"/>
      <c r="H123" s="728" t="s">
        <v>588</v>
      </c>
      <c r="I123" s="729">
        <v>10000</v>
      </c>
      <c r="J123" s="729">
        <v>365</v>
      </c>
      <c r="K123" s="729" t="s">
        <v>589</v>
      </c>
      <c r="L123" s="730"/>
      <c r="M123" s="731" t="s">
        <v>126</v>
      </c>
      <c r="N123" s="686">
        <f>I123*J123</f>
        <v>3650000</v>
      </c>
      <c r="Q123" s="545">
        <f>IF($M123="법인전입금",$N123,0)</f>
        <v>3650000</v>
      </c>
    </row>
    <row r="124" spans="1:17" ht="15" thickBot="1">
      <c r="A124" s="887"/>
      <c r="B124" s="887"/>
      <c r="C124" s="891"/>
      <c r="D124" s="577">
        <v>2400000</v>
      </c>
      <c r="E124" s="577">
        <f>N124</f>
        <v>2400000</v>
      </c>
      <c r="F124" s="780">
        <f>N124</f>
        <v>2400000</v>
      </c>
      <c r="G124" s="577">
        <f>E124-D124</f>
        <v>0</v>
      </c>
      <c r="H124" s="591" t="s">
        <v>8</v>
      </c>
      <c r="I124" s="592"/>
      <c r="J124" s="593"/>
      <c r="K124" s="593"/>
      <c r="L124" s="594"/>
      <c r="M124" s="595"/>
      <c r="N124" s="780">
        <f>SUM(N126)</f>
        <v>2400000</v>
      </c>
    </row>
    <row r="125" spans="1:17" ht="19.5" customHeight="1">
      <c r="A125" s="887"/>
      <c r="B125" s="887"/>
      <c r="C125" s="891"/>
      <c r="D125" s="887"/>
      <c r="E125" s="887"/>
      <c r="F125" s="887"/>
      <c r="G125" s="891"/>
      <c r="H125" s="711" t="s">
        <v>375</v>
      </c>
      <c r="I125" s="721" t="s">
        <v>376</v>
      </c>
      <c r="J125" s="712"/>
      <c r="K125" s="712" t="s">
        <v>488</v>
      </c>
      <c r="L125" s="712"/>
      <c r="M125" s="714"/>
      <c r="N125" s="583" t="s">
        <v>37</v>
      </c>
    </row>
    <row r="126" spans="1:17" ht="19.5" customHeight="1" thickBot="1">
      <c r="A126" s="887"/>
      <c r="B126" s="887"/>
      <c r="C126" s="891"/>
      <c r="D126" s="887"/>
      <c r="E126" s="887"/>
      <c r="F126" s="887"/>
      <c r="G126" s="891"/>
      <c r="H126" s="722" t="s">
        <v>10</v>
      </c>
      <c r="I126" s="723">
        <v>200000</v>
      </c>
      <c r="J126" s="724">
        <v>12</v>
      </c>
      <c r="K126" s="725" t="s">
        <v>451</v>
      </c>
      <c r="L126" s="725"/>
      <c r="M126" s="726" t="s">
        <v>33</v>
      </c>
      <c r="N126" s="683">
        <v>2400000</v>
      </c>
    </row>
    <row r="127" spans="1:17" ht="24.95" customHeight="1" thickBot="1">
      <c r="A127" s="887"/>
      <c r="B127" s="887"/>
      <c r="C127" s="891"/>
      <c r="D127" s="577">
        <v>5500000</v>
      </c>
      <c r="E127" s="577">
        <f>N127</f>
        <v>5500000</v>
      </c>
      <c r="F127" s="780">
        <f>N127</f>
        <v>5500000</v>
      </c>
      <c r="G127" s="577">
        <f>E127-D127</f>
        <v>0</v>
      </c>
      <c r="H127" s="591" t="s">
        <v>9</v>
      </c>
      <c r="I127" s="592"/>
      <c r="J127" s="593"/>
      <c r="K127" s="593"/>
      <c r="L127" s="594"/>
      <c r="M127" s="595"/>
      <c r="N127" s="780">
        <f>SUM(N129:N130)</f>
        <v>5500000</v>
      </c>
    </row>
    <row r="128" spans="1:17" ht="15" thickBot="1">
      <c r="A128" s="887"/>
      <c r="B128" s="887"/>
      <c r="C128" s="891"/>
      <c r="D128" s="887"/>
      <c r="E128" s="887"/>
      <c r="F128" s="887"/>
      <c r="G128" s="891"/>
      <c r="H128" s="689" t="s">
        <v>378</v>
      </c>
      <c r="I128" s="727" t="s">
        <v>376</v>
      </c>
      <c r="J128" s="690"/>
      <c r="K128" s="690" t="s">
        <v>489</v>
      </c>
      <c r="L128" s="690"/>
      <c r="M128" s="692"/>
      <c r="N128" s="577" t="s">
        <v>37</v>
      </c>
    </row>
    <row r="129" spans="1:14">
      <c r="A129" s="887"/>
      <c r="B129" s="887"/>
      <c r="C129" s="891"/>
      <c r="D129" s="887"/>
      <c r="E129" s="887"/>
      <c r="F129" s="887"/>
      <c r="G129" s="891"/>
      <c r="H129" s="728" t="s">
        <v>104</v>
      </c>
      <c r="I129" s="729">
        <v>400000</v>
      </c>
      <c r="J129" s="729">
        <v>10</v>
      </c>
      <c r="K129" s="729" t="s">
        <v>487</v>
      </c>
      <c r="L129" s="730"/>
      <c r="M129" s="731" t="s">
        <v>33</v>
      </c>
      <c r="N129" s="683">
        <v>4000000</v>
      </c>
    </row>
    <row r="130" spans="1:14" ht="15" thickBot="1">
      <c r="A130" s="887"/>
      <c r="B130" s="887"/>
      <c r="C130" s="891"/>
      <c r="D130" s="887"/>
      <c r="E130" s="887"/>
      <c r="F130" s="887"/>
      <c r="G130" s="891"/>
      <c r="H130" s="732" t="s">
        <v>442</v>
      </c>
      <c r="I130" s="733">
        <v>300000</v>
      </c>
      <c r="J130" s="733">
        <v>5</v>
      </c>
      <c r="K130" s="733" t="s">
        <v>487</v>
      </c>
      <c r="L130" s="664"/>
      <c r="M130" s="667" t="s">
        <v>33</v>
      </c>
      <c r="N130" s="683">
        <v>1500000</v>
      </c>
    </row>
    <row r="131" spans="1:14" ht="15" thickBot="1">
      <c r="A131" s="887"/>
      <c r="B131" s="887"/>
      <c r="C131" s="891"/>
      <c r="D131" s="885">
        <v>61094710</v>
      </c>
      <c r="E131" s="577">
        <f>N131</f>
        <v>63085160</v>
      </c>
      <c r="F131" s="780">
        <f>N131</f>
        <v>63085160</v>
      </c>
      <c r="G131" s="577">
        <f>E131-D131</f>
        <v>1990450</v>
      </c>
      <c r="H131" s="689" t="s">
        <v>108</v>
      </c>
      <c r="I131" s="727"/>
      <c r="J131" s="691"/>
      <c r="K131" s="691"/>
      <c r="L131" s="690"/>
      <c r="M131" s="692"/>
      <c r="N131" s="780">
        <f>SUM(N133:N148)</f>
        <v>63085160</v>
      </c>
    </row>
    <row r="132" spans="1:14" ht="15" thickBot="1">
      <c r="A132" s="887"/>
      <c r="B132" s="887"/>
      <c r="C132" s="891"/>
      <c r="D132" s="887"/>
      <c r="E132" s="887"/>
      <c r="F132" s="887"/>
      <c r="G132" s="891"/>
      <c r="H132" s="591" t="s">
        <v>375</v>
      </c>
      <c r="I132" s="592" t="s">
        <v>376</v>
      </c>
      <c r="J132" s="593"/>
      <c r="K132" s="593"/>
      <c r="L132" s="594" t="s">
        <v>377</v>
      </c>
      <c r="M132" s="595"/>
      <c r="N132" s="577" t="s">
        <v>37</v>
      </c>
    </row>
    <row r="133" spans="1:14" ht="24.95" customHeight="1">
      <c r="A133" s="887"/>
      <c r="B133" s="887"/>
      <c r="C133" s="891"/>
      <c r="D133" s="887"/>
      <c r="E133" s="887"/>
      <c r="F133" s="887"/>
      <c r="G133" s="891"/>
      <c r="H133" s="734" t="s">
        <v>528</v>
      </c>
      <c r="I133" s="600">
        <v>78494400</v>
      </c>
      <c r="J133" s="735">
        <v>12</v>
      </c>
      <c r="K133" s="599" t="s">
        <v>462</v>
      </c>
      <c r="L133" s="736">
        <v>8.3299999999999999E-2</v>
      </c>
      <c r="M133" s="694" t="s">
        <v>33</v>
      </c>
      <c r="N133" s="720">
        <v>6541200</v>
      </c>
    </row>
    <row r="134" spans="1:14" ht="24.95" customHeight="1">
      <c r="A134" s="887"/>
      <c r="B134" s="887"/>
      <c r="C134" s="891"/>
      <c r="D134" s="887"/>
      <c r="E134" s="887"/>
      <c r="F134" s="887"/>
      <c r="G134" s="891"/>
      <c r="H134" s="737" t="s">
        <v>526</v>
      </c>
      <c r="I134" s="706">
        <v>55390500</v>
      </c>
      <c r="J134" s="738">
        <v>12</v>
      </c>
      <c r="K134" s="705" t="s">
        <v>462</v>
      </c>
      <c r="L134" s="739">
        <v>8.3299999999999999E-2</v>
      </c>
      <c r="M134" s="740" t="s">
        <v>33</v>
      </c>
      <c r="N134" s="741">
        <v>4615860</v>
      </c>
    </row>
    <row r="135" spans="1:14" ht="24.95" customHeight="1">
      <c r="A135" s="887"/>
      <c r="B135" s="887"/>
      <c r="C135" s="891"/>
      <c r="D135" s="887"/>
      <c r="E135" s="887"/>
      <c r="F135" s="887"/>
      <c r="G135" s="891"/>
      <c r="H135" s="737" t="s">
        <v>524</v>
      </c>
      <c r="I135" s="706">
        <v>64499400</v>
      </c>
      <c r="J135" s="738">
        <v>12</v>
      </c>
      <c r="K135" s="705" t="s">
        <v>462</v>
      </c>
      <c r="L135" s="739">
        <v>8.3299999999999999E-2</v>
      </c>
      <c r="M135" s="740" t="s">
        <v>33</v>
      </c>
      <c r="N135" s="741">
        <v>5374990</v>
      </c>
    </row>
    <row r="136" spans="1:14" ht="24.95" customHeight="1">
      <c r="A136" s="887"/>
      <c r="B136" s="887"/>
      <c r="C136" s="891"/>
      <c r="D136" s="887"/>
      <c r="E136" s="887"/>
      <c r="F136" s="887"/>
      <c r="G136" s="891"/>
      <c r="H136" s="737" t="s">
        <v>524</v>
      </c>
      <c r="I136" s="706">
        <v>62106720</v>
      </c>
      <c r="J136" s="738">
        <v>12</v>
      </c>
      <c r="K136" s="705" t="s">
        <v>462</v>
      </c>
      <c r="L136" s="739">
        <v>8.3299999999999999E-2</v>
      </c>
      <c r="M136" s="740" t="s">
        <v>33</v>
      </c>
      <c r="N136" s="741">
        <v>5175550</v>
      </c>
    </row>
    <row r="137" spans="1:14" ht="24.95" customHeight="1">
      <c r="A137" s="887"/>
      <c r="B137" s="887"/>
      <c r="C137" s="891"/>
      <c r="D137" s="887"/>
      <c r="E137" s="887"/>
      <c r="F137" s="887"/>
      <c r="G137" s="891"/>
      <c r="H137" s="737" t="s">
        <v>524</v>
      </c>
      <c r="I137" s="706">
        <v>63022010</v>
      </c>
      <c r="J137" s="738">
        <v>12</v>
      </c>
      <c r="K137" s="705" t="s">
        <v>462</v>
      </c>
      <c r="L137" s="739">
        <v>8.3299999999999999E-2</v>
      </c>
      <c r="M137" s="740" t="s">
        <v>33</v>
      </c>
      <c r="N137" s="741">
        <v>5251800</v>
      </c>
    </row>
    <row r="138" spans="1:14" ht="24.95" customHeight="1">
      <c r="A138" s="887"/>
      <c r="B138" s="887"/>
      <c r="C138" s="891"/>
      <c r="D138" s="887"/>
      <c r="E138" s="887"/>
      <c r="F138" s="887"/>
      <c r="G138" s="891"/>
      <c r="H138" s="737" t="s">
        <v>530</v>
      </c>
      <c r="I138" s="706">
        <v>48656280</v>
      </c>
      <c r="J138" s="738">
        <v>12</v>
      </c>
      <c r="K138" s="705" t="s">
        <v>462</v>
      </c>
      <c r="L138" s="739">
        <v>8.3299999999999999E-2</v>
      </c>
      <c r="M138" s="740" t="s">
        <v>33</v>
      </c>
      <c r="N138" s="741">
        <v>4054240</v>
      </c>
    </row>
    <row r="139" spans="1:14" ht="24.95" customHeight="1">
      <c r="A139" s="887"/>
      <c r="B139" s="887"/>
      <c r="C139" s="891"/>
      <c r="D139" s="887"/>
      <c r="E139" s="887"/>
      <c r="F139" s="887"/>
      <c r="G139" s="891"/>
      <c r="H139" s="737" t="s">
        <v>530</v>
      </c>
      <c r="I139" s="706">
        <v>46540680</v>
      </c>
      <c r="J139" s="738">
        <v>12</v>
      </c>
      <c r="K139" s="705" t="s">
        <v>462</v>
      </c>
      <c r="L139" s="739">
        <v>8.3299999999999999E-2</v>
      </c>
      <c r="M139" s="740" t="s">
        <v>33</v>
      </c>
      <c r="N139" s="741">
        <v>3878410</v>
      </c>
    </row>
    <row r="140" spans="1:14" ht="24.95" customHeight="1">
      <c r="A140" s="887"/>
      <c r="B140" s="887"/>
      <c r="C140" s="891"/>
      <c r="D140" s="887"/>
      <c r="E140" s="887"/>
      <c r="F140" s="887"/>
      <c r="G140" s="891"/>
      <c r="H140" s="737" t="s">
        <v>530</v>
      </c>
      <c r="I140" s="706">
        <v>47041020</v>
      </c>
      <c r="J140" s="738">
        <v>12</v>
      </c>
      <c r="K140" s="705" t="s">
        <v>462</v>
      </c>
      <c r="L140" s="739">
        <v>8.3299999999999999E-2</v>
      </c>
      <c r="M140" s="740" t="s">
        <v>33</v>
      </c>
      <c r="N140" s="741">
        <v>3920120</v>
      </c>
    </row>
    <row r="141" spans="1:14" ht="24.95" customHeight="1">
      <c r="A141" s="887"/>
      <c r="B141" s="887"/>
      <c r="C141" s="891"/>
      <c r="D141" s="887"/>
      <c r="E141" s="887"/>
      <c r="F141" s="887"/>
      <c r="G141" s="891"/>
      <c r="H141" s="737" t="s">
        <v>530</v>
      </c>
      <c r="I141" s="706">
        <v>41317690</v>
      </c>
      <c r="J141" s="738">
        <v>12</v>
      </c>
      <c r="K141" s="705" t="s">
        <v>462</v>
      </c>
      <c r="L141" s="739">
        <v>8.3299999999999999E-2</v>
      </c>
      <c r="M141" s="740" t="s">
        <v>33</v>
      </c>
      <c r="N141" s="741">
        <v>3443180</v>
      </c>
    </row>
    <row r="142" spans="1:14" ht="24.95" customHeight="1">
      <c r="A142" s="887"/>
      <c r="B142" s="887"/>
      <c r="C142" s="891"/>
      <c r="D142" s="887"/>
      <c r="E142" s="887"/>
      <c r="F142" s="887"/>
      <c r="G142" s="891"/>
      <c r="H142" s="737" t="s">
        <v>540</v>
      </c>
      <c r="I142" s="706">
        <v>37844960</v>
      </c>
      <c r="J142" s="738">
        <v>12</v>
      </c>
      <c r="K142" s="705" t="s">
        <v>462</v>
      </c>
      <c r="L142" s="739">
        <v>8.3299999999999999E-2</v>
      </c>
      <c r="M142" s="740" t="s">
        <v>33</v>
      </c>
      <c r="N142" s="741">
        <v>3153760</v>
      </c>
    </row>
    <row r="143" spans="1:14" ht="24.95" customHeight="1">
      <c r="A143" s="887"/>
      <c r="B143" s="887"/>
      <c r="C143" s="891"/>
      <c r="D143" s="887"/>
      <c r="E143" s="887"/>
      <c r="F143" s="887"/>
      <c r="G143" s="891"/>
      <c r="H143" s="737" t="s">
        <v>533</v>
      </c>
      <c r="I143" s="706">
        <v>48936000</v>
      </c>
      <c r="J143" s="738">
        <v>12</v>
      </c>
      <c r="K143" s="705" t="s">
        <v>462</v>
      </c>
      <c r="L143" s="739">
        <v>8.3299999999999999E-2</v>
      </c>
      <c r="M143" s="740" t="s">
        <v>33</v>
      </c>
      <c r="N143" s="741">
        <v>4078060</v>
      </c>
    </row>
    <row r="144" spans="1:14" ht="24.95" customHeight="1">
      <c r="A144" s="887"/>
      <c r="B144" s="887"/>
      <c r="C144" s="891"/>
      <c r="D144" s="887"/>
      <c r="E144" s="887"/>
      <c r="F144" s="887"/>
      <c r="G144" s="891"/>
      <c r="H144" s="742" t="s">
        <v>535</v>
      </c>
      <c r="I144" s="706">
        <v>45608200</v>
      </c>
      <c r="J144" s="738">
        <v>12</v>
      </c>
      <c r="K144" s="705" t="s">
        <v>462</v>
      </c>
      <c r="L144" s="739">
        <v>8.3299999999999999E-2</v>
      </c>
      <c r="M144" s="740" t="s">
        <v>33</v>
      </c>
      <c r="N144" s="741">
        <v>3800690</v>
      </c>
    </row>
    <row r="145" spans="1:24" ht="24.95" customHeight="1">
      <c r="A145" s="887"/>
      <c r="B145" s="887"/>
      <c r="C145" s="891"/>
      <c r="D145" s="887"/>
      <c r="E145" s="887"/>
      <c r="F145" s="887"/>
      <c r="G145" s="891"/>
      <c r="H145" s="737" t="s">
        <v>537</v>
      </c>
      <c r="I145" s="706">
        <v>37469080</v>
      </c>
      <c r="J145" s="738">
        <v>12</v>
      </c>
      <c r="K145" s="705" t="s">
        <v>462</v>
      </c>
      <c r="L145" s="739">
        <v>8.3299999999999999E-2</v>
      </c>
      <c r="M145" s="740" t="s">
        <v>33</v>
      </c>
      <c r="N145" s="741">
        <v>3122470</v>
      </c>
    </row>
    <row r="146" spans="1:24" ht="24.95" customHeight="1">
      <c r="A146" s="887"/>
      <c r="B146" s="887"/>
      <c r="C146" s="891"/>
      <c r="D146" s="887"/>
      <c r="E146" s="887"/>
      <c r="F146" s="887"/>
      <c r="G146" s="891"/>
      <c r="H146" s="737" t="s">
        <v>537</v>
      </c>
      <c r="I146" s="706">
        <v>37363440</v>
      </c>
      <c r="J146" s="738">
        <v>12</v>
      </c>
      <c r="K146" s="705" t="s">
        <v>462</v>
      </c>
      <c r="L146" s="739">
        <v>8.3299999999999999E-2</v>
      </c>
      <c r="M146" s="740" t="s">
        <v>33</v>
      </c>
      <c r="N146" s="741">
        <v>3113660</v>
      </c>
    </row>
    <row r="147" spans="1:24" ht="24.95" customHeight="1">
      <c r="A147" s="887"/>
      <c r="B147" s="887"/>
      <c r="C147" s="891"/>
      <c r="D147" s="887"/>
      <c r="E147" s="887"/>
      <c r="F147" s="887"/>
      <c r="G147" s="891"/>
      <c r="H147" s="737" t="s">
        <v>539</v>
      </c>
      <c r="I147" s="706">
        <v>39083280</v>
      </c>
      <c r="J147" s="738">
        <v>12</v>
      </c>
      <c r="K147" s="705" t="s">
        <v>462</v>
      </c>
      <c r="L147" s="739">
        <v>8.3299999999999999E-2</v>
      </c>
      <c r="M147" s="740" t="s">
        <v>33</v>
      </c>
      <c r="N147" s="741">
        <v>3257000</v>
      </c>
    </row>
    <row r="148" spans="1:24" ht="24.95" customHeight="1" thickBot="1">
      <c r="A148" s="887"/>
      <c r="B148" s="887"/>
      <c r="C148" s="891"/>
      <c r="D148" s="887"/>
      <c r="E148" s="887"/>
      <c r="F148" s="887"/>
      <c r="G148" s="891"/>
      <c r="H148" s="737" t="s">
        <v>622</v>
      </c>
      <c r="I148" s="706">
        <v>3650000</v>
      </c>
      <c r="J148" s="738">
        <v>1</v>
      </c>
      <c r="K148" s="705" t="s">
        <v>464</v>
      </c>
      <c r="L148" s="739">
        <v>8.3299999999999999E-2</v>
      </c>
      <c r="M148" s="740" t="s">
        <v>126</v>
      </c>
      <c r="N148" s="741">
        <v>304170</v>
      </c>
      <c r="Q148" s="545">
        <f>IF($M148="법인전입금",$N148,0)</f>
        <v>304170</v>
      </c>
    </row>
    <row r="149" spans="1:24" ht="15" customHeight="1" thickBot="1">
      <c r="A149" s="887"/>
      <c r="B149" s="887"/>
      <c r="C149" s="890"/>
      <c r="D149" s="885">
        <v>77401600</v>
      </c>
      <c r="E149" s="577">
        <f>N149</f>
        <v>80137680</v>
      </c>
      <c r="F149" s="780">
        <f>N149</f>
        <v>80137680</v>
      </c>
      <c r="G149" s="577">
        <f>E149-D149</f>
        <v>2736080</v>
      </c>
      <c r="H149" s="636" t="s">
        <v>25</v>
      </c>
      <c r="I149" s="637"/>
      <c r="J149" s="638"/>
      <c r="K149" s="638"/>
      <c r="L149" s="638"/>
      <c r="M149" s="746"/>
      <c r="N149" s="780">
        <f>SUM(N150:N154)</f>
        <v>80137680</v>
      </c>
    </row>
    <row r="150" spans="1:24" ht="24" customHeight="1">
      <c r="A150" s="887"/>
      <c r="B150" s="887"/>
      <c r="C150" s="890"/>
      <c r="D150" s="891"/>
      <c r="E150" s="892"/>
      <c r="F150" s="892"/>
      <c r="G150" s="891"/>
      <c r="H150" s="747" t="s">
        <v>109</v>
      </c>
      <c r="I150" s="787">
        <v>729973660</v>
      </c>
      <c r="J150" s="748">
        <v>12</v>
      </c>
      <c r="K150" s="749" t="s">
        <v>462</v>
      </c>
      <c r="L150" s="750">
        <v>4.4999999999999998E-2</v>
      </c>
      <c r="M150" s="751" t="s">
        <v>33</v>
      </c>
      <c r="N150" s="752">
        <v>32918230</v>
      </c>
    </row>
    <row r="151" spans="1:24" ht="24" customHeight="1">
      <c r="A151" s="887"/>
      <c r="B151" s="887"/>
      <c r="C151" s="890"/>
      <c r="D151" s="891"/>
      <c r="E151" s="887"/>
      <c r="F151" s="887"/>
      <c r="G151" s="891"/>
      <c r="H151" s="617" t="s">
        <v>522</v>
      </c>
      <c r="I151" s="1073">
        <v>729973660</v>
      </c>
      <c r="J151" s="753">
        <v>12</v>
      </c>
      <c r="K151" s="754" t="s">
        <v>462</v>
      </c>
      <c r="L151" s="977">
        <v>3.5450000000000002E-2</v>
      </c>
      <c r="M151" s="702" t="s">
        <v>33</v>
      </c>
      <c r="N151" s="686">
        <v>25876580</v>
      </c>
    </row>
    <row r="152" spans="1:24" ht="24" customHeight="1">
      <c r="A152" s="887"/>
      <c r="B152" s="887"/>
      <c r="C152" s="890"/>
      <c r="D152" s="891"/>
      <c r="E152" s="887"/>
      <c r="F152" s="887"/>
      <c r="G152" s="891"/>
      <c r="H152" s="629" t="s">
        <v>458</v>
      </c>
      <c r="I152" s="1073">
        <v>25876580</v>
      </c>
      <c r="J152" s="753">
        <v>12</v>
      </c>
      <c r="K152" s="754" t="s">
        <v>462</v>
      </c>
      <c r="L152" s="755">
        <v>0.12809999999999999</v>
      </c>
      <c r="M152" s="702" t="s">
        <v>33</v>
      </c>
      <c r="N152" s="686">
        <v>3314070</v>
      </c>
    </row>
    <row r="153" spans="1:24" ht="24" customHeight="1">
      <c r="A153" s="887"/>
      <c r="B153" s="887"/>
      <c r="C153" s="890"/>
      <c r="D153" s="891"/>
      <c r="E153" s="887"/>
      <c r="F153" s="887"/>
      <c r="G153" s="891"/>
      <c r="H153" s="972" t="s">
        <v>111</v>
      </c>
      <c r="I153" s="1074">
        <v>729973660</v>
      </c>
      <c r="J153" s="978">
        <v>12</v>
      </c>
      <c r="K153" s="979" t="s">
        <v>462</v>
      </c>
      <c r="L153" s="980">
        <v>1.7500000000000002E-2</v>
      </c>
      <c r="M153" s="698" t="s">
        <v>33</v>
      </c>
      <c r="N153" s="686">
        <v>12773740</v>
      </c>
      <c r="S153" s="522"/>
      <c r="T153" s="522"/>
    </row>
    <row r="154" spans="1:24" ht="24" customHeight="1" thickBot="1">
      <c r="A154" s="887"/>
      <c r="B154" s="887"/>
      <c r="C154" s="890"/>
      <c r="D154" s="891"/>
      <c r="E154" s="887"/>
      <c r="F154" s="887"/>
      <c r="G154" s="891"/>
      <c r="H154" s="630" t="s">
        <v>112</v>
      </c>
      <c r="I154" s="1075">
        <v>729973660</v>
      </c>
      <c r="J154" s="757">
        <v>12</v>
      </c>
      <c r="K154" s="758" t="s">
        <v>462</v>
      </c>
      <c r="L154" s="759">
        <v>7.1999999999999998E-3</v>
      </c>
      <c r="M154" s="694" t="s">
        <v>33</v>
      </c>
      <c r="N154" s="686">
        <v>5255060</v>
      </c>
      <c r="P154" s="439">
        <f>O155-P155</f>
        <v>0</v>
      </c>
      <c r="S154" s="522"/>
      <c r="T154" s="522"/>
    </row>
    <row r="155" spans="1:24" ht="15" thickBot="1">
      <c r="A155" s="887"/>
      <c r="B155" s="577" t="s">
        <v>188</v>
      </c>
      <c r="C155" s="577"/>
      <c r="D155" s="596">
        <f>D156+D181+D204+D225+D233+D237</f>
        <v>103842630</v>
      </c>
      <c r="E155" s="885">
        <f>N155</f>
        <v>113326631</v>
      </c>
      <c r="F155" s="885">
        <f>F156+F181+F204+F225+F233+F237</f>
        <v>113302629</v>
      </c>
      <c r="G155" s="583">
        <f>E155-D155</f>
        <v>9484001</v>
      </c>
      <c r="H155" s="591" t="s">
        <v>188</v>
      </c>
      <c r="I155" s="592"/>
      <c r="J155" s="593"/>
      <c r="K155" s="593"/>
      <c r="L155" s="594"/>
      <c r="M155" s="595"/>
      <c r="N155" s="780">
        <f>SUM(N156,N181,N204,N225,N233,N237)</f>
        <v>113326631</v>
      </c>
      <c r="O155" s="522">
        <f>70155900-500000</f>
        <v>69655900</v>
      </c>
      <c r="P155" s="439">
        <f>P156+P181+P204+P225+P233+P237+P240</f>
        <v>69655900</v>
      </c>
      <c r="Q155" s="439">
        <f t="shared" ref="Q155:V155" si="8">Q156+Q181+Q204+Q225+Q233+Q237+Q240</f>
        <v>4945830</v>
      </c>
      <c r="R155" s="439">
        <f t="shared" si="8"/>
        <v>15850000</v>
      </c>
      <c r="S155" s="439">
        <f t="shared" si="8"/>
        <v>12098370</v>
      </c>
      <c r="T155" s="439">
        <f t="shared" si="8"/>
        <v>15576531</v>
      </c>
      <c r="U155" s="439">
        <f t="shared" si="8"/>
        <v>0</v>
      </c>
      <c r="V155" s="439">
        <f t="shared" si="8"/>
        <v>0</v>
      </c>
      <c r="X155" s="439">
        <v>113036883</v>
      </c>
    </row>
    <row r="156" spans="1:24" ht="15" thickBot="1">
      <c r="A156" s="887"/>
      <c r="B156" s="887"/>
      <c r="C156" s="577" t="s">
        <v>189</v>
      </c>
      <c r="D156" s="885">
        <v>24618830</v>
      </c>
      <c r="E156" s="577">
        <f>N156</f>
        <v>25926961</v>
      </c>
      <c r="F156" s="780">
        <f>N156</f>
        <v>25926961</v>
      </c>
      <c r="G156" s="577">
        <f>E156-D156</f>
        <v>1308131</v>
      </c>
      <c r="H156" s="591" t="s">
        <v>189</v>
      </c>
      <c r="I156" s="592" t="s">
        <v>376</v>
      </c>
      <c r="J156" s="593"/>
      <c r="K156" s="593"/>
      <c r="L156" s="594"/>
      <c r="M156" s="595"/>
      <c r="N156" s="780">
        <f>SUM(N159:N180)</f>
        <v>25926961</v>
      </c>
      <c r="P156" s="522">
        <f t="shared" ref="P156:U156" si="9">SUM(P159:P180)</f>
        <v>22469200</v>
      </c>
      <c r="Q156" s="522">
        <f t="shared" si="9"/>
        <v>931230</v>
      </c>
      <c r="R156" s="522">
        <f t="shared" si="9"/>
        <v>150000</v>
      </c>
      <c r="S156" s="522">
        <f t="shared" si="9"/>
        <v>0</v>
      </c>
      <c r="T156" s="522">
        <f t="shared" si="9"/>
        <v>2376531</v>
      </c>
      <c r="U156" s="522">
        <f t="shared" si="9"/>
        <v>0</v>
      </c>
      <c r="V156" s="522"/>
    </row>
    <row r="157" spans="1:24" ht="14.25" hidden="1" customHeight="1" thickBot="1">
      <c r="A157" s="887"/>
      <c r="B157" s="887"/>
      <c r="C157" s="887"/>
      <c r="D157" s="894"/>
      <c r="E157" s="894"/>
      <c r="F157" s="894"/>
      <c r="G157" s="887">
        <f t="shared" ref="G157" si="10">E157-F157</f>
        <v>0</v>
      </c>
      <c r="H157" s="760"/>
      <c r="I157" s="756"/>
      <c r="J157" s="761"/>
      <c r="K157" s="761"/>
      <c r="L157" s="1302"/>
      <c r="M157" s="1303"/>
      <c r="N157" s="683"/>
    </row>
    <row r="158" spans="1:24" ht="14.25" hidden="1" customHeight="1">
      <c r="A158" s="887"/>
      <c r="B158" s="887"/>
      <c r="C158" s="887"/>
      <c r="D158" s="894"/>
      <c r="E158" s="894"/>
      <c r="F158" s="894"/>
      <c r="G158" s="887">
        <f t="shared" ref="G158" si="11">E158-F158</f>
        <v>0</v>
      </c>
      <c r="H158" s="760"/>
      <c r="I158" s="756"/>
      <c r="J158" s="761"/>
      <c r="K158" s="761"/>
      <c r="L158" s="762"/>
      <c r="M158" s="763"/>
      <c r="N158" s="683"/>
    </row>
    <row r="159" spans="1:24" s="545" customFormat="1" ht="21" customHeight="1">
      <c r="A159" s="887"/>
      <c r="B159" s="887"/>
      <c r="C159" s="887"/>
      <c r="D159" s="894"/>
      <c r="E159" s="894"/>
      <c r="F159" s="894"/>
      <c r="G159" s="894"/>
      <c r="H159" s="973" t="s">
        <v>380</v>
      </c>
      <c r="I159" s="764">
        <v>350000</v>
      </c>
      <c r="J159" s="671">
        <v>12</v>
      </c>
      <c r="K159" s="670" t="s">
        <v>451</v>
      </c>
      <c r="L159" s="670"/>
      <c r="M159" s="765" t="s">
        <v>33</v>
      </c>
      <c r="N159" s="710">
        <f t="shared" ref="N159:N180" si="12">I159*J159</f>
        <v>4200000</v>
      </c>
      <c r="P159" s="545">
        <f t="shared" ref="P159:P203" si="13">IF($M159="보조금",$N159,0)</f>
        <v>4200000</v>
      </c>
      <c r="Q159" s="545">
        <f t="shared" ref="Q159:Q203" si="14">IF($M159="법인전입금",$N159,0)</f>
        <v>0</v>
      </c>
      <c r="R159" s="545">
        <f t="shared" ref="R159:R203" si="15">IF($M159="구법인",$N159,0)</f>
        <v>0</v>
      </c>
      <c r="S159" s="545">
        <f t="shared" ref="S159:S203" si="16">IF($M159="지정후원금",$N159,0)</f>
        <v>0</v>
      </c>
      <c r="T159" s="545">
        <f t="shared" ref="T159:T223" si="17">IF($M159="비지정후원금",$N159,0)</f>
        <v>0</v>
      </c>
      <c r="U159" s="545">
        <f t="shared" ref="U159:U223" si="18">IF(OR($M159="수익사업"),$N159,0)</f>
        <v>0</v>
      </c>
      <c r="V159" s="545">
        <f t="shared" ref="V159:V180" si="19">IF(OR($M159="잡지출"),$N159,0)</f>
        <v>0</v>
      </c>
    </row>
    <row r="160" spans="1:24" s="545" customFormat="1" ht="21" customHeight="1">
      <c r="A160" s="887"/>
      <c r="B160" s="887"/>
      <c r="C160" s="887"/>
      <c r="D160" s="894"/>
      <c r="E160" s="894"/>
      <c r="F160" s="894"/>
      <c r="G160" s="894"/>
      <c r="H160" s="629" t="s">
        <v>404</v>
      </c>
      <c r="I160" s="618">
        <v>247500</v>
      </c>
      <c r="J160" s="619">
        <v>12</v>
      </c>
      <c r="K160" s="620" t="s">
        <v>451</v>
      </c>
      <c r="L160" s="620" t="s">
        <v>688</v>
      </c>
      <c r="M160" s="768" t="s">
        <v>33</v>
      </c>
      <c r="N160" s="701">
        <f t="shared" si="12"/>
        <v>2970000</v>
      </c>
      <c r="P160" s="545">
        <f t="shared" si="13"/>
        <v>2970000</v>
      </c>
      <c r="Q160" s="545">
        <f t="shared" si="14"/>
        <v>0</v>
      </c>
      <c r="R160" s="545">
        <f t="shared" si="15"/>
        <v>0</v>
      </c>
      <c r="S160" s="545">
        <f t="shared" si="16"/>
        <v>0</v>
      </c>
      <c r="T160" s="545">
        <f t="shared" si="17"/>
        <v>0</v>
      </c>
      <c r="U160" s="545">
        <f t="shared" si="18"/>
        <v>0</v>
      </c>
      <c r="V160" s="545">
        <f t="shared" si="19"/>
        <v>0</v>
      </c>
    </row>
    <row r="161" spans="1:22" s="545" customFormat="1" ht="21" customHeight="1">
      <c r="A161" s="887"/>
      <c r="B161" s="887"/>
      <c r="C161" s="887"/>
      <c r="D161" s="894"/>
      <c r="E161" s="894"/>
      <c r="F161" s="894"/>
      <c r="G161" s="894"/>
      <c r="H161" s="617" t="s">
        <v>449</v>
      </c>
      <c r="I161" s="618">
        <v>180000</v>
      </c>
      <c r="J161" s="619">
        <v>4</v>
      </c>
      <c r="K161" s="620" t="s">
        <v>453</v>
      </c>
      <c r="L161" s="620"/>
      <c r="M161" s="768" t="s">
        <v>33</v>
      </c>
      <c r="N161" s="701">
        <f t="shared" si="12"/>
        <v>720000</v>
      </c>
      <c r="P161" s="545">
        <f t="shared" si="13"/>
        <v>720000</v>
      </c>
      <c r="Q161" s="545">
        <f t="shared" si="14"/>
        <v>0</v>
      </c>
      <c r="R161" s="545">
        <f t="shared" si="15"/>
        <v>0</v>
      </c>
      <c r="S161" s="545">
        <f t="shared" si="16"/>
        <v>0</v>
      </c>
      <c r="T161" s="545">
        <f t="shared" si="17"/>
        <v>0</v>
      </c>
      <c r="U161" s="545">
        <f t="shared" si="18"/>
        <v>0</v>
      </c>
      <c r="V161" s="545">
        <f t="shared" si="19"/>
        <v>0</v>
      </c>
    </row>
    <row r="162" spans="1:22" s="545" customFormat="1" ht="21" customHeight="1">
      <c r="A162" s="887"/>
      <c r="B162" s="887"/>
      <c r="C162" s="887"/>
      <c r="D162" s="894"/>
      <c r="E162" s="894"/>
      <c r="F162" s="894"/>
      <c r="G162" s="894"/>
      <c r="H162" s="617" t="s">
        <v>379</v>
      </c>
      <c r="I162" s="618">
        <v>258500</v>
      </c>
      <c r="J162" s="619">
        <v>12</v>
      </c>
      <c r="K162" s="620" t="s">
        <v>451</v>
      </c>
      <c r="L162" s="620"/>
      <c r="M162" s="768" t="s">
        <v>33</v>
      </c>
      <c r="N162" s="701">
        <f t="shared" si="12"/>
        <v>3102000</v>
      </c>
      <c r="P162" s="545">
        <f t="shared" si="13"/>
        <v>3102000</v>
      </c>
      <c r="Q162" s="545">
        <f t="shared" si="14"/>
        <v>0</v>
      </c>
      <c r="R162" s="545">
        <f t="shared" si="15"/>
        <v>0</v>
      </c>
      <c r="S162" s="545">
        <f t="shared" si="16"/>
        <v>0</v>
      </c>
      <c r="T162" s="545">
        <f t="shared" si="17"/>
        <v>0</v>
      </c>
      <c r="U162" s="545">
        <f t="shared" si="18"/>
        <v>0</v>
      </c>
      <c r="V162" s="545">
        <f t="shared" si="19"/>
        <v>0</v>
      </c>
    </row>
    <row r="163" spans="1:22" s="545" customFormat="1" ht="21" customHeight="1">
      <c r="A163" s="887"/>
      <c r="B163" s="887"/>
      <c r="C163" s="887"/>
      <c r="D163" s="894"/>
      <c r="E163" s="894"/>
      <c r="F163" s="894"/>
      <c r="G163" s="894"/>
      <c r="H163" s="680" t="s">
        <v>452</v>
      </c>
      <c r="I163" s="598">
        <v>105600</v>
      </c>
      <c r="J163" s="599">
        <v>12</v>
      </c>
      <c r="K163" s="600" t="s">
        <v>451</v>
      </c>
      <c r="L163" s="600"/>
      <c r="M163" s="769" t="s">
        <v>33</v>
      </c>
      <c r="N163" s="976">
        <f t="shared" si="12"/>
        <v>1267200</v>
      </c>
      <c r="P163" s="545">
        <f t="shared" si="13"/>
        <v>1267200</v>
      </c>
      <c r="Q163" s="545">
        <f t="shared" si="14"/>
        <v>0</v>
      </c>
      <c r="R163" s="545">
        <f t="shared" si="15"/>
        <v>0</v>
      </c>
      <c r="S163" s="545">
        <f t="shared" si="16"/>
        <v>0</v>
      </c>
      <c r="T163" s="545">
        <f t="shared" si="17"/>
        <v>0</v>
      </c>
      <c r="U163" s="545">
        <f t="shared" si="18"/>
        <v>0</v>
      </c>
      <c r="V163" s="545">
        <f t="shared" si="19"/>
        <v>0</v>
      </c>
    </row>
    <row r="164" spans="1:22" s="545" customFormat="1" ht="21" customHeight="1">
      <c r="A164" s="887"/>
      <c r="B164" s="887"/>
      <c r="C164" s="887"/>
      <c r="D164" s="894"/>
      <c r="E164" s="894"/>
      <c r="F164" s="894"/>
      <c r="G164" s="894"/>
      <c r="H164" s="606" t="s">
        <v>444</v>
      </c>
      <c r="I164" s="607">
        <v>250000</v>
      </c>
      <c r="J164" s="608">
        <v>12</v>
      </c>
      <c r="K164" s="609" t="s">
        <v>451</v>
      </c>
      <c r="L164" s="609"/>
      <c r="M164" s="774" t="s">
        <v>33</v>
      </c>
      <c r="N164" s="710">
        <f t="shared" si="12"/>
        <v>3000000</v>
      </c>
      <c r="P164" s="545">
        <f t="shared" si="13"/>
        <v>3000000</v>
      </c>
      <c r="Q164" s="545">
        <f t="shared" si="14"/>
        <v>0</v>
      </c>
      <c r="R164" s="545">
        <f t="shared" si="15"/>
        <v>0</v>
      </c>
      <c r="S164" s="545">
        <f t="shared" si="16"/>
        <v>0</v>
      </c>
      <c r="T164" s="545">
        <f t="shared" si="17"/>
        <v>0</v>
      </c>
      <c r="U164" s="545">
        <f t="shared" si="18"/>
        <v>0</v>
      </c>
      <c r="V164" s="545">
        <f t="shared" si="19"/>
        <v>0</v>
      </c>
    </row>
    <row r="165" spans="1:22" s="545" customFormat="1" ht="21" customHeight="1">
      <c r="A165" s="887"/>
      <c r="B165" s="887"/>
      <c r="C165" s="887"/>
      <c r="D165" s="894"/>
      <c r="E165" s="894"/>
      <c r="F165" s="894"/>
      <c r="G165" s="894"/>
      <c r="H165" s="629" t="s">
        <v>405</v>
      </c>
      <c r="I165" s="618">
        <v>110000</v>
      </c>
      <c r="J165" s="619">
        <v>12</v>
      </c>
      <c r="K165" s="620" t="s">
        <v>451</v>
      </c>
      <c r="L165" s="620"/>
      <c r="M165" s="768" t="s">
        <v>448</v>
      </c>
      <c r="N165" s="701">
        <f t="shared" si="12"/>
        <v>1320000</v>
      </c>
      <c r="P165" s="545">
        <f t="shared" si="13"/>
        <v>1320000</v>
      </c>
      <c r="Q165" s="545">
        <f t="shared" si="14"/>
        <v>0</v>
      </c>
      <c r="R165" s="545">
        <f t="shared" si="15"/>
        <v>0</v>
      </c>
      <c r="S165" s="545">
        <f t="shared" si="16"/>
        <v>0</v>
      </c>
      <c r="T165" s="545">
        <f t="shared" si="17"/>
        <v>0</v>
      </c>
      <c r="U165" s="545">
        <f t="shared" si="18"/>
        <v>0</v>
      </c>
      <c r="V165" s="545">
        <f t="shared" si="19"/>
        <v>0</v>
      </c>
    </row>
    <row r="166" spans="1:22" s="545" customFormat="1" ht="21" customHeight="1">
      <c r="A166" s="887"/>
      <c r="B166" s="887"/>
      <c r="C166" s="887"/>
      <c r="D166" s="894"/>
      <c r="E166" s="894"/>
      <c r="F166" s="894"/>
      <c r="G166" s="894"/>
      <c r="H166" s="699" t="s">
        <v>445</v>
      </c>
      <c r="I166" s="624">
        <v>150000</v>
      </c>
      <c r="J166" s="681">
        <v>1</v>
      </c>
      <c r="K166" s="626" t="s">
        <v>453</v>
      </c>
      <c r="L166" s="626"/>
      <c r="M166" s="766" t="s">
        <v>448</v>
      </c>
      <c r="N166" s="703">
        <f t="shared" si="12"/>
        <v>150000</v>
      </c>
      <c r="P166" s="545">
        <f t="shared" si="13"/>
        <v>150000</v>
      </c>
      <c r="Q166" s="545">
        <f t="shared" si="14"/>
        <v>0</v>
      </c>
      <c r="R166" s="545">
        <f t="shared" si="15"/>
        <v>0</v>
      </c>
      <c r="S166" s="545">
        <f t="shared" si="16"/>
        <v>0</v>
      </c>
      <c r="T166" s="545">
        <f t="shared" si="17"/>
        <v>0</v>
      </c>
      <c r="U166" s="545">
        <f t="shared" si="18"/>
        <v>0</v>
      </c>
      <c r="V166" s="545">
        <f t="shared" si="19"/>
        <v>0</v>
      </c>
    </row>
    <row r="167" spans="1:22" s="545" customFormat="1" ht="21" customHeight="1">
      <c r="A167" s="887"/>
      <c r="B167" s="887"/>
      <c r="C167" s="887"/>
      <c r="D167" s="894"/>
      <c r="E167" s="894"/>
      <c r="F167" s="894"/>
      <c r="G167" s="894"/>
      <c r="H167" s="629" t="s">
        <v>684</v>
      </c>
      <c r="I167" s="618">
        <v>350000</v>
      </c>
      <c r="J167" s="619">
        <v>1</v>
      </c>
      <c r="K167" s="620" t="s">
        <v>454</v>
      </c>
      <c r="L167" s="620"/>
      <c r="M167" s="768" t="s">
        <v>126</v>
      </c>
      <c r="N167" s="701">
        <f t="shared" si="12"/>
        <v>350000</v>
      </c>
      <c r="P167" s="545">
        <f t="shared" si="13"/>
        <v>0</v>
      </c>
      <c r="Q167" s="545">
        <f t="shared" si="14"/>
        <v>350000</v>
      </c>
      <c r="R167" s="545">
        <f t="shared" si="15"/>
        <v>0</v>
      </c>
      <c r="S167" s="545">
        <f t="shared" si="16"/>
        <v>0</v>
      </c>
      <c r="T167" s="545">
        <f t="shared" si="17"/>
        <v>0</v>
      </c>
      <c r="U167" s="545">
        <f t="shared" si="18"/>
        <v>0</v>
      </c>
      <c r="V167" s="545">
        <f t="shared" si="19"/>
        <v>0</v>
      </c>
    </row>
    <row r="168" spans="1:22" s="545" customFormat="1" ht="21" customHeight="1">
      <c r="A168" s="887"/>
      <c r="B168" s="887"/>
      <c r="C168" s="887"/>
      <c r="D168" s="894"/>
      <c r="E168" s="894"/>
      <c r="F168" s="894"/>
      <c r="G168" s="894"/>
      <c r="H168" s="629" t="s">
        <v>455</v>
      </c>
      <c r="I168" s="618">
        <v>150000</v>
      </c>
      <c r="J168" s="619">
        <v>1</v>
      </c>
      <c r="K168" s="620" t="s">
        <v>454</v>
      </c>
      <c r="L168" s="620"/>
      <c r="M168" s="768" t="s">
        <v>457</v>
      </c>
      <c r="N168" s="701">
        <f t="shared" si="12"/>
        <v>150000</v>
      </c>
      <c r="P168" s="545">
        <f t="shared" si="13"/>
        <v>0</v>
      </c>
      <c r="Q168" s="545">
        <f t="shared" si="14"/>
        <v>0</v>
      </c>
      <c r="R168" s="545">
        <f t="shared" si="15"/>
        <v>150000</v>
      </c>
      <c r="S168" s="545">
        <f t="shared" si="16"/>
        <v>0</v>
      </c>
      <c r="T168" s="545">
        <f t="shared" si="17"/>
        <v>0</v>
      </c>
      <c r="U168" s="545">
        <f t="shared" si="18"/>
        <v>0</v>
      </c>
      <c r="V168" s="545">
        <f t="shared" si="19"/>
        <v>0</v>
      </c>
    </row>
    <row r="169" spans="1:22" s="545" customFormat="1" ht="21" customHeight="1">
      <c r="A169" s="887"/>
      <c r="B169" s="887"/>
      <c r="C169" s="887"/>
      <c r="D169" s="894"/>
      <c r="E169" s="894"/>
      <c r="F169" s="894"/>
      <c r="G169" s="894"/>
      <c r="H169" s="629" t="s">
        <v>456</v>
      </c>
      <c r="I169" s="618">
        <v>300000</v>
      </c>
      <c r="J169" s="619">
        <v>1</v>
      </c>
      <c r="K169" s="620" t="s">
        <v>453</v>
      </c>
      <c r="L169" s="620"/>
      <c r="M169" s="768" t="s">
        <v>33</v>
      </c>
      <c r="N169" s="703">
        <f t="shared" si="12"/>
        <v>300000</v>
      </c>
      <c r="P169" s="545">
        <f t="shared" si="13"/>
        <v>300000</v>
      </c>
      <c r="Q169" s="545">
        <f t="shared" si="14"/>
        <v>0</v>
      </c>
      <c r="R169" s="545">
        <f t="shared" si="15"/>
        <v>0</v>
      </c>
      <c r="S169" s="545">
        <f t="shared" si="16"/>
        <v>0</v>
      </c>
      <c r="T169" s="545">
        <f t="shared" si="17"/>
        <v>0</v>
      </c>
      <c r="U169" s="545">
        <f t="shared" si="18"/>
        <v>0</v>
      </c>
      <c r="V169" s="545">
        <f t="shared" si="19"/>
        <v>0</v>
      </c>
    </row>
    <row r="170" spans="1:22" s="545" customFormat="1" ht="21" customHeight="1">
      <c r="A170" s="887"/>
      <c r="B170" s="887"/>
      <c r="C170" s="887"/>
      <c r="D170" s="894"/>
      <c r="E170" s="894"/>
      <c r="F170" s="894"/>
      <c r="G170" s="894"/>
      <c r="H170" s="629" t="s">
        <v>592</v>
      </c>
      <c r="I170" s="618">
        <v>440000</v>
      </c>
      <c r="J170" s="619">
        <v>1</v>
      </c>
      <c r="K170" s="620" t="s">
        <v>453</v>
      </c>
      <c r="L170" s="620"/>
      <c r="M170" s="768" t="s">
        <v>33</v>
      </c>
      <c r="N170" s="701">
        <f t="shared" si="12"/>
        <v>440000</v>
      </c>
      <c r="P170" s="545">
        <f t="shared" si="13"/>
        <v>440000</v>
      </c>
      <c r="Q170" s="545">
        <f t="shared" si="14"/>
        <v>0</v>
      </c>
      <c r="R170" s="545">
        <f t="shared" si="15"/>
        <v>0</v>
      </c>
      <c r="S170" s="545">
        <f t="shared" si="16"/>
        <v>0</v>
      </c>
      <c r="T170" s="545">
        <f t="shared" si="17"/>
        <v>0</v>
      </c>
      <c r="U170" s="545">
        <f t="shared" si="18"/>
        <v>0</v>
      </c>
      <c r="V170" s="545">
        <f t="shared" si="19"/>
        <v>0</v>
      </c>
    </row>
    <row r="171" spans="1:22" s="545" customFormat="1" ht="21" customHeight="1">
      <c r="A171" s="887"/>
      <c r="B171" s="887"/>
      <c r="C171" s="887"/>
      <c r="D171" s="894"/>
      <c r="E171" s="894"/>
      <c r="F171" s="894"/>
      <c r="G171" s="894"/>
      <c r="H171" s="629" t="s">
        <v>381</v>
      </c>
      <c r="I171" s="618">
        <v>440000</v>
      </c>
      <c r="J171" s="619">
        <v>1</v>
      </c>
      <c r="K171" s="620" t="s">
        <v>453</v>
      </c>
      <c r="L171" s="620"/>
      <c r="M171" s="768" t="s">
        <v>33</v>
      </c>
      <c r="N171" s="701">
        <f t="shared" si="12"/>
        <v>440000</v>
      </c>
      <c r="P171" s="545">
        <f t="shared" si="13"/>
        <v>440000</v>
      </c>
      <c r="Q171" s="545">
        <f t="shared" si="14"/>
        <v>0</v>
      </c>
      <c r="R171" s="545">
        <f t="shared" si="15"/>
        <v>0</v>
      </c>
      <c r="S171" s="545">
        <f t="shared" si="16"/>
        <v>0</v>
      </c>
      <c r="T171" s="545">
        <f t="shared" si="17"/>
        <v>0</v>
      </c>
      <c r="U171" s="545">
        <f t="shared" si="18"/>
        <v>0</v>
      </c>
      <c r="V171" s="545">
        <f t="shared" si="19"/>
        <v>0</v>
      </c>
    </row>
    <row r="172" spans="1:22" s="545" customFormat="1" ht="21" customHeight="1">
      <c r="A172" s="887"/>
      <c r="B172" s="887"/>
      <c r="C172" s="887"/>
      <c r="D172" s="894"/>
      <c r="E172" s="894"/>
      <c r="F172" s="894"/>
      <c r="G172" s="894"/>
      <c r="H172" s="699" t="s">
        <v>382</v>
      </c>
      <c r="I172" s="624">
        <v>120000</v>
      </c>
      <c r="J172" s="681">
        <v>12</v>
      </c>
      <c r="K172" s="626" t="s">
        <v>451</v>
      </c>
      <c r="L172" s="626"/>
      <c r="M172" s="766" t="s">
        <v>33</v>
      </c>
      <c r="N172" s="701">
        <f t="shared" si="12"/>
        <v>1440000</v>
      </c>
      <c r="P172" s="545">
        <f t="shared" si="13"/>
        <v>1440000</v>
      </c>
      <c r="Q172" s="545">
        <f t="shared" si="14"/>
        <v>0</v>
      </c>
      <c r="R172" s="545">
        <f t="shared" si="15"/>
        <v>0</v>
      </c>
      <c r="S172" s="545">
        <f t="shared" si="16"/>
        <v>0</v>
      </c>
      <c r="T172" s="545">
        <f t="shared" si="17"/>
        <v>0</v>
      </c>
      <c r="U172" s="545">
        <f t="shared" si="18"/>
        <v>0</v>
      </c>
      <c r="V172" s="545">
        <f t="shared" si="19"/>
        <v>0</v>
      </c>
    </row>
    <row r="173" spans="1:22" s="545" customFormat="1" ht="21" customHeight="1">
      <c r="A173" s="887"/>
      <c r="B173" s="887"/>
      <c r="C173" s="887"/>
      <c r="D173" s="894"/>
      <c r="E173" s="894"/>
      <c r="F173" s="894"/>
      <c r="G173" s="894"/>
      <c r="H173" s="617" t="s">
        <v>613</v>
      </c>
      <c r="I173" s="618">
        <v>110000</v>
      </c>
      <c r="J173" s="619">
        <v>12</v>
      </c>
      <c r="K173" s="620" t="s">
        <v>451</v>
      </c>
      <c r="L173" s="620"/>
      <c r="M173" s="768" t="s">
        <v>33</v>
      </c>
      <c r="N173" s="709">
        <f t="shared" si="12"/>
        <v>1320000</v>
      </c>
      <c r="P173" s="545">
        <f t="shared" si="13"/>
        <v>1320000</v>
      </c>
      <c r="Q173" s="545">
        <f t="shared" si="14"/>
        <v>0</v>
      </c>
      <c r="R173" s="545">
        <f t="shared" si="15"/>
        <v>0</v>
      </c>
      <c r="S173" s="545">
        <f t="shared" si="16"/>
        <v>0</v>
      </c>
      <c r="T173" s="545">
        <f t="shared" si="17"/>
        <v>0</v>
      </c>
      <c r="U173" s="545">
        <f t="shared" si="18"/>
        <v>0</v>
      </c>
      <c r="V173" s="545">
        <f t="shared" si="19"/>
        <v>0</v>
      </c>
    </row>
    <row r="174" spans="1:22" s="545" customFormat="1" ht="21" customHeight="1">
      <c r="A174" s="887"/>
      <c r="B174" s="887"/>
      <c r="C174" s="887"/>
      <c r="D174" s="894"/>
      <c r="E174" s="894"/>
      <c r="F174" s="894"/>
      <c r="G174" s="894"/>
      <c r="H174" s="699" t="s">
        <v>686</v>
      </c>
      <c r="I174" s="624">
        <v>200000</v>
      </c>
      <c r="J174" s="681">
        <v>3</v>
      </c>
      <c r="K174" s="626" t="s">
        <v>453</v>
      </c>
      <c r="L174" s="626"/>
      <c r="M174" s="766" t="s">
        <v>33</v>
      </c>
      <c r="N174" s="709">
        <f t="shared" si="12"/>
        <v>600000</v>
      </c>
      <c r="P174" s="545">
        <f t="shared" si="13"/>
        <v>600000</v>
      </c>
      <c r="Q174" s="545">
        <f t="shared" si="14"/>
        <v>0</v>
      </c>
      <c r="R174" s="545">
        <f t="shared" si="15"/>
        <v>0</v>
      </c>
      <c r="S174" s="545">
        <f t="shared" si="16"/>
        <v>0</v>
      </c>
      <c r="T174" s="545">
        <f t="shared" si="17"/>
        <v>0</v>
      </c>
      <c r="U174" s="545">
        <f t="shared" si="18"/>
        <v>0</v>
      </c>
      <c r="V174" s="545">
        <f t="shared" si="19"/>
        <v>0</v>
      </c>
    </row>
    <row r="175" spans="1:22" s="545" customFormat="1" ht="21" customHeight="1">
      <c r="A175" s="887"/>
      <c r="B175" s="887"/>
      <c r="C175" s="887"/>
      <c r="D175" s="894"/>
      <c r="E175" s="894"/>
      <c r="F175" s="894"/>
      <c r="G175" s="894"/>
      <c r="H175" s="629" t="s">
        <v>459</v>
      </c>
      <c r="I175" s="618">
        <v>100000</v>
      </c>
      <c r="J175" s="619">
        <v>1</v>
      </c>
      <c r="K175" s="620" t="s">
        <v>453</v>
      </c>
      <c r="L175" s="620"/>
      <c r="M175" s="768" t="s">
        <v>33</v>
      </c>
      <c r="N175" s="703">
        <f>I175*J175</f>
        <v>100000</v>
      </c>
      <c r="P175" s="545">
        <f t="shared" si="13"/>
        <v>100000</v>
      </c>
      <c r="Q175" s="545">
        <f t="shared" si="14"/>
        <v>0</v>
      </c>
      <c r="R175" s="545">
        <f t="shared" si="15"/>
        <v>0</v>
      </c>
      <c r="S175" s="545">
        <f t="shared" si="16"/>
        <v>0</v>
      </c>
      <c r="T175" s="545">
        <f t="shared" si="17"/>
        <v>0</v>
      </c>
      <c r="U175" s="545">
        <f t="shared" si="18"/>
        <v>0</v>
      </c>
      <c r="V175" s="545">
        <f t="shared" si="19"/>
        <v>0</v>
      </c>
    </row>
    <row r="176" spans="1:22" s="545" customFormat="1" ht="21" customHeight="1">
      <c r="A176" s="887"/>
      <c r="B176" s="887"/>
      <c r="C176" s="887"/>
      <c r="D176" s="894"/>
      <c r="E176" s="894"/>
      <c r="F176" s="894"/>
      <c r="G176" s="894"/>
      <c r="H176" s="1254" t="s">
        <v>460</v>
      </c>
      <c r="I176" s="598">
        <v>100000</v>
      </c>
      <c r="J176" s="599">
        <v>11</v>
      </c>
      <c r="K176" s="600" t="s">
        <v>453</v>
      </c>
      <c r="L176" s="600"/>
      <c r="M176" s="769" t="s">
        <v>33</v>
      </c>
      <c r="N176" s="708">
        <f t="shared" si="12"/>
        <v>1100000</v>
      </c>
      <c r="P176" s="545">
        <f t="shared" si="13"/>
        <v>1100000</v>
      </c>
      <c r="Q176" s="545">
        <f t="shared" si="14"/>
        <v>0</v>
      </c>
      <c r="R176" s="545">
        <f t="shared" si="15"/>
        <v>0</v>
      </c>
      <c r="S176" s="545">
        <f t="shared" si="16"/>
        <v>0</v>
      </c>
      <c r="T176" s="545">
        <f t="shared" si="17"/>
        <v>0</v>
      </c>
      <c r="U176" s="545">
        <f t="shared" si="18"/>
        <v>0</v>
      </c>
      <c r="V176" s="545">
        <f t="shared" si="19"/>
        <v>0</v>
      </c>
    </row>
    <row r="177" spans="1:22" s="545" customFormat="1" ht="21" customHeight="1">
      <c r="A177" s="887"/>
      <c r="B177" s="887"/>
      <c r="C177" s="887"/>
      <c r="D177" s="894"/>
      <c r="E177" s="894"/>
      <c r="F177" s="894"/>
      <c r="G177" s="894"/>
      <c r="H177" s="1258"/>
      <c r="I177" s="704">
        <v>150000</v>
      </c>
      <c r="J177" s="705">
        <v>3</v>
      </c>
      <c r="K177" s="706" t="s">
        <v>453</v>
      </c>
      <c r="L177" s="706"/>
      <c r="M177" s="772" t="s">
        <v>126</v>
      </c>
      <c r="N177" s="773">
        <f t="shared" si="12"/>
        <v>450000</v>
      </c>
      <c r="P177" s="545">
        <f t="shared" si="13"/>
        <v>0</v>
      </c>
      <c r="Q177" s="545">
        <f t="shared" si="14"/>
        <v>450000</v>
      </c>
      <c r="R177" s="545">
        <f t="shared" si="15"/>
        <v>0</v>
      </c>
      <c r="S177" s="545">
        <f t="shared" si="16"/>
        <v>0</v>
      </c>
      <c r="T177" s="545">
        <f t="shared" si="17"/>
        <v>0</v>
      </c>
      <c r="U177" s="545">
        <f t="shared" si="18"/>
        <v>0</v>
      </c>
      <c r="V177" s="545">
        <f t="shared" si="19"/>
        <v>0</v>
      </c>
    </row>
    <row r="178" spans="1:22" s="545" customFormat="1" ht="21" customHeight="1">
      <c r="A178" s="887"/>
      <c r="B178" s="887"/>
      <c r="C178" s="887"/>
      <c r="D178" s="894"/>
      <c r="E178" s="894"/>
      <c r="F178" s="894"/>
      <c r="G178" s="894"/>
      <c r="H178" s="1255"/>
      <c r="I178" s="612">
        <v>1776531</v>
      </c>
      <c r="J178" s="613">
        <v>1</v>
      </c>
      <c r="K178" s="614" t="s">
        <v>453</v>
      </c>
      <c r="L178" s="614"/>
      <c r="M178" s="775" t="s">
        <v>209</v>
      </c>
      <c r="N178" s="776">
        <f t="shared" si="12"/>
        <v>1776531</v>
      </c>
      <c r="P178" s="545">
        <f t="shared" si="13"/>
        <v>0</v>
      </c>
      <c r="Q178" s="545">
        <f t="shared" si="14"/>
        <v>0</v>
      </c>
      <c r="R178" s="545">
        <f t="shared" si="15"/>
        <v>0</v>
      </c>
      <c r="S178" s="545">
        <f t="shared" si="16"/>
        <v>0</v>
      </c>
      <c r="T178" s="545">
        <f t="shared" si="17"/>
        <v>1776531</v>
      </c>
      <c r="U178" s="545">
        <f t="shared" si="18"/>
        <v>0</v>
      </c>
      <c r="V178" s="545">
        <f t="shared" si="19"/>
        <v>0</v>
      </c>
    </row>
    <row r="179" spans="1:22" s="545" customFormat="1" ht="21" customHeight="1">
      <c r="A179" s="887"/>
      <c r="B179" s="887"/>
      <c r="C179" s="887"/>
      <c r="D179" s="894"/>
      <c r="E179" s="894"/>
      <c r="F179" s="894"/>
      <c r="G179" s="894"/>
      <c r="H179" s="629" t="s">
        <v>461</v>
      </c>
      <c r="I179" s="618">
        <v>50000</v>
      </c>
      <c r="J179" s="619">
        <v>12</v>
      </c>
      <c r="K179" s="620" t="s">
        <v>451</v>
      </c>
      <c r="L179" s="620"/>
      <c r="M179" s="777" t="s">
        <v>209</v>
      </c>
      <c r="N179" s="701">
        <f t="shared" si="12"/>
        <v>600000</v>
      </c>
      <c r="P179" s="545">
        <f t="shared" si="13"/>
        <v>0</v>
      </c>
      <c r="Q179" s="545">
        <f t="shared" si="14"/>
        <v>0</v>
      </c>
      <c r="R179" s="545">
        <f t="shared" si="15"/>
        <v>0</v>
      </c>
      <c r="S179" s="545">
        <f t="shared" si="16"/>
        <v>0</v>
      </c>
      <c r="T179" s="545">
        <f t="shared" si="17"/>
        <v>600000</v>
      </c>
      <c r="U179" s="545">
        <f t="shared" si="18"/>
        <v>0</v>
      </c>
      <c r="V179" s="545">
        <f t="shared" si="19"/>
        <v>0</v>
      </c>
    </row>
    <row r="180" spans="1:22" s="545" customFormat="1" ht="21" customHeight="1" thickBot="1">
      <c r="A180" s="887"/>
      <c r="B180" s="887"/>
      <c r="C180" s="887"/>
      <c r="D180" s="894"/>
      <c r="E180" s="894"/>
      <c r="F180" s="894"/>
      <c r="G180" s="894"/>
      <c r="H180" s="699" t="s">
        <v>685</v>
      </c>
      <c r="I180" s="624">
        <v>131230</v>
      </c>
      <c r="J180" s="681">
        <v>1</v>
      </c>
      <c r="K180" s="626" t="s">
        <v>451</v>
      </c>
      <c r="L180" s="626"/>
      <c r="M180" s="772" t="s">
        <v>126</v>
      </c>
      <c r="N180" s="703">
        <f t="shared" si="12"/>
        <v>131230</v>
      </c>
      <c r="P180" s="545">
        <f t="shared" si="13"/>
        <v>0</v>
      </c>
      <c r="Q180" s="545">
        <f t="shared" si="14"/>
        <v>131230</v>
      </c>
      <c r="R180" s="545">
        <f t="shared" si="15"/>
        <v>0</v>
      </c>
      <c r="S180" s="545">
        <f t="shared" si="16"/>
        <v>0</v>
      </c>
      <c r="T180" s="545">
        <f t="shared" si="17"/>
        <v>0</v>
      </c>
      <c r="U180" s="545">
        <f t="shared" si="18"/>
        <v>0</v>
      </c>
      <c r="V180" s="545">
        <f t="shared" si="19"/>
        <v>0</v>
      </c>
    </row>
    <row r="181" spans="1:22" s="546" customFormat="1" ht="21" customHeight="1" thickBot="1">
      <c r="A181" s="887"/>
      <c r="B181" s="887"/>
      <c r="C181" s="577" t="s">
        <v>190</v>
      </c>
      <c r="D181" s="885">
        <v>57189400</v>
      </c>
      <c r="E181" s="577">
        <f>N181</f>
        <v>66182370</v>
      </c>
      <c r="F181" s="591">
        <f>N181</f>
        <v>66182370</v>
      </c>
      <c r="G181" s="577">
        <f>E181-D181</f>
        <v>8992970</v>
      </c>
      <c r="H181" s="636" t="s">
        <v>190</v>
      </c>
      <c r="I181" s="637"/>
      <c r="J181" s="638"/>
      <c r="K181" s="638"/>
      <c r="L181" s="778"/>
      <c r="M181" s="779"/>
      <c r="N181" s="780">
        <f>SUM(N182:N203)</f>
        <v>66182370</v>
      </c>
      <c r="P181" s="547">
        <f t="shared" ref="P181:V181" si="20">SUM(P182:P203)</f>
        <v>37269400</v>
      </c>
      <c r="Q181" s="547">
        <f t="shared" si="20"/>
        <v>3114600</v>
      </c>
      <c r="R181" s="547">
        <f t="shared" si="20"/>
        <v>4000000</v>
      </c>
      <c r="S181" s="547">
        <f t="shared" si="20"/>
        <v>12098370</v>
      </c>
      <c r="T181" s="547">
        <f t="shared" si="20"/>
        <v>9700000</v>
      </c>
      <c r="U181" s="547">
        <f t="shared" si="20"/>
        <v>0</v>
      </c>
      <c r="V181" s="547">
        <f t="shared" si="20"/>
        <v>0</v>
      </c>
    </row>
    <row r="182" spans="1:22" s="546" customFormat="1" ht="21" customHeight="1">
      <c r="A182" s="887"/>
      <c r="B182" s="887"/>
      <c r="C182" s="887"/>
      <c r="D182" s="894"/>
      <c r="E182" s="894"/>
      <c r="F182" s="894"/>
      <c r="G182" s="887"/>
      <c r="H182" s="973" t="s">
        <v>383</v>
      </c>
      <c r="I182" s="764">
        <v>120000</v>
      </c>
      <c r="J182" s="781">
        <v>12</v>
      </c>
      <c r="K182" s="600" t="s">
        <v>451</v>
      </c>
      <c r="L182" s="670"/>
      <c r="M182" s="765" t="s">
        <v>33</v>
      </c>
      <c r="N182" s="710">
        <f t="shared" ref="N182:N203" si="21">I182*J182</f>
        <v>1440000</v>
      </c>
      <c r="P182" s="545">
        <f t="shared" si="13"/>
        <v>1440000</v>
      </c>
      <c r="Q182" s="545">
        <f t="shared" si="14"/>
        <v>0</v>
      </c>
      <c r="R182" s="545">
        <f t="shared" si="15"/>
        <v>0</v>
      </c>
      <c r="S182" s="545">
        <f t="shared" si="16"/>
        <v>0</v>
      </c>
      <c r="T182" s="545">
        <f t="shared" si="17"/>
        <v>0</v>
      </c>
      <c r="U182" s="545">
        <f t="shared" si="18"/>
        <v>0</v>
      </c>
      <c r="V182" s="545">
        <f t="shared" ref="V182:V203" si="22">IF(OR($M182="잡지출"),$N182,0)</f>
        <v>0</v>
      </c>
    </row>
    <row r="183" spans="1:22" s="546" customFormat="1" ht="21" customHeight="1">
      <c r="A183" s="887"/>
      <c r="B183" s="887"/>
      <c r="C183" s="887"/>
      <c r="D183" s="894"/>
      <c r="E183" s="894"/>
      <c r="F183" s="894"/>
      <c r="G183" s="887"/>
      <c r="H183" s="617" t="s">
        <v>384</v>
      </c>
      <c r="I183" s="618">
        <v>700000</v>
      </c>
      <c r="J183" s="619">
        <v>12</v>
      </c>
      <c r="K183" s="620" t="s">
        <v>451</v>
      </c>
      <c r="L183" s="620"/>
      <c r="M183" s="768" t="s">
        <v>33</v>
      </c>
      <c r="N183" s="701">
        <f t="shared" si="21"/>
        <v>8400000</v>
      </c>
      <c r="P183" s="545">
        <f t="shared" si="13"/>
        <v>8400000</v>
      </c>
      <c r="Q183" s="545">
        <f t="shared" si="14"/>
        <v>0</v>
      </c>
      <c r="R183" s="545">
        <f t="shared" si="15"/>
        <v>0</v>
      </c>
      <c r="S183" s="545">
        <f t="shared" si="16"/>
        <v>0</v>
      </c>
      <c r="T183" s="545">
        <f t="shared" si="17"/>
        <v>0</v>
      </c>
      <c r="U183" s="545">
        <f t="shared" si="18"/>
        <v>0</v>
      </c>
      <c r="V183" s="545">
        <f t="shared" si="22"/>
        <v>0</v>
      </c>
    </row>
    <row r="184" spans="1:22" s="546" customFormat="1" ht="21" customHeight="1">
      <c r="A184" s="887"/>
      <c r="B184" s="887"/>
      <c r="C184" s="887"/>
      <c r="D184" s="894"/>
      <c r="E184" s="894"/>
      <c r="F184" s="894"/>
      <c r="G184" s="887"/>
      <c r="H184" s="1254" t="s">
        <v>385</v>
      </c>
      <c r="I184" s="598">
        <v>1300000</v>
      </c>
      <c r="J184" s="599">
        <v>7</v>
      </c>
      <c r="K184" s="600" t="s">
        <v>451</v>
      </c>
      <c r="L184" s="600"/>
      <c r="M184" s="769" t="s">
        <v>33</v>
      </c>
      <c r="N184" s="710">
        <f t="shared" si="21"/>
        <v>9100000</v>
      </c>
      <c r="P184" s="545">
        <f t="shared" si="13"/>
        <v>9100000</v>
      </c>
      <c r="Q184" s="545">
        <f t="shared" si="14"/>
        <v>0</v>
      </c>
      <c r="R184" s="545">
        <f t="shared" si="15"/>
        <v>0</v>
      </c>
      <c r="S184" s="545">
        <f t="shared" si="16"/>
        <v>0</v>
      </c>
      <c r="T184" s="545">
        <f t="shared" si="17"/>
        <v>0</v>
      </c>
      <c r="U184" s="545">
        <f t="shared" si="18"/>
        <v>0</v>
      </c>
      <c r="V184" s="545">
        <f t="shared" si="22"/>
        <v>0</v>
      </c>
    </row>
    <row r="185" spans="1:22" s="546" customFormat="1" ht="21" customHeight="1">
      <c r="A185" s="887"/>
      <c r="B185" s="887"/>
      <c r="C185" s="887"/>
      <c r="D185" s="894"/>
      <c r="E185" s="894"/>
      <c r="F185" s="894"/>
      <c r="G185" s="887"/>
      <c r="H185" s="1258"/>
      <c r="I185" s="598">
        <v>1118360</v>
      </c>
      <c r="J185" s="599">
        <v>1</v>
      </c>
      <c r="K185" s="600" t="s">
        <v>464</v>
      </c>
      <c r="L185" s="600" t="s">
        <v>690</v>
      </c>
      <c r="M185" s="600" t="s">
        <v>208</v>
      </c>
      <c r="N185" s="710">
        <f>I185*J185</f>
        <v>1118360</v>
      </c>
      <c r="P185" s="545">
        <f t="shared" si="13"/>
        <v>0</v>
      </c>
      <c r="Q185" s="545">
        <f t="shared" si="14"/>
        <v>0</v>
      </c>
      <c r="R185" s="545">
        <f t="shared" si="15"/>
        <v>0</v>
      </c>
      <c r="S185" s="545">
        <f t="shared" si="16"/>
        <v>1118360</v>
      </c>
      <c r="T185" s="545">
        <f t="shared" si="17"/>
        <v>0</v>
      </c>
      <c r="U185" s="545">
        <f t="shared" si="18"/>
        <v>0</v>
      </c>
      <c r="V185" s="545">
        <f t="shared" si="22"/>
        <v>0</v>
      </c>
    </row>
    <row r="186" spans="1:22" s="546" customFormat="1" ht="21" customHeight="1">
      <c r="A186" s="887"/>
      <c r="B186" s="887"/>
      <c r="C186" s="887"/>
      <c r="D186" s="894"/>
      <c r="E186" s="894"/>
      <c r="F186" s="894"/>
      <c r="G186" s="887"/>
      <c r="H186" s="1258"/>
      <c r="I186" s="598">
        <v>1500000</v>
      </c>
      <c r="J186" s="599">
        <v>1</v>
      </c>
      <c r="K186" s="600" t="s">
        <v>464</v>
      </c>
      <c r="L186" s="600" t="s">
        <v>692</v>
      </c>
      <c r="M186" s="600" t="s">
        <v>208</v>
      </c>
      <c r="N186" s="710">
        <f t="shared" si="21"/>
        <v>1500000</v>
      </c>
      <c r="P186" s="545">
        <f t="shared" si="13"/>
        <v>0</v>
      </c>
      <c r="Q186" s="545">
        <f t="shared" si="14"/>
        <v>0</v>
      </c>
      <c r="R186" s="545">
        <f t="shared" si="15"/>
        <v>0</v>
      </c>
      <c r="S186" s="545">
        <f t="shared" si="16"/>
        <v>1500000</v>
      </c>
      <c r="T186" s="545">
        <f t="shared" si="17"/>
        <v>0</v>
      </c>
      <c r="U186" s="545">
        <f t="shared" si="18"/>
        <v>0</v>
      </c>
      <c r="V186" s="545">
        <f t="shared" si="22"/>
        <v>0</v>
      </c>
    </row>
    <row r="187" spans="1:22" s="546" customFormat="1" ht="21" customHeight="1">
      <c r="A187" s="887"/>
      <c r="B187" s="887"/>
      <c r="C187" s="887"/>
      <c r="D187" s="894"/>
      <c r="E187" s="894"/>
      <c r="F187" s="894"/>
      <c r="G187" s="887"/>
      <c r="H187" s="1258"/>
      <c r="I187" s="598">
        <v>2500000</v>
      </c>
      <c r="J187" s="599">
        <v>1</v>
      </c>
      <c r="K187" s="600" t="s">
        <v>464</v>
      </c>
      <c r="L187" s="600"/>
      <c r="M187" s="600" t="s">
        <v>209</v>
      </c>
      <c r="N187" s="710">
        <f t="shared" si="21"/>
        <v>2500000</v>
      </c>
      <c r="P187" s="545">
        <f t="shared" si="13"/>
        <v>0</v>
      </c>
      <c r="Q187" s="545">
        <f t="shared" si="14"/>
        <v>0</v>
      </c>
      <c r="R187" s="545">
        <f t="shared" si="15"/>
        <v>0</v>
      </c>
      <c r="S187" s="545">
        <f t="shared" si="16"/>
        <v>0</v>
      </c>
      <c r="T187" s="545">
        <f t="shared" si="17"/>
        <v>2500000</v>
      </c>
      <c r="U187" s="545">
        <f t="shared" si="18"/>
        <v>0</v>
      </c>
      <c r="V187" s="545">
        <f t="shared" si="22"/>
        <v>0</v>
      </c>
    </row>
    <row r="188" spans="1:22" s="546" customFormat="1" ht="21" customHeight="1">
      <c r="A188" s="887"/>
      <c r="B188" s="887"/>
      <c r="C188" s="887"/>
      <c r="D188" s="894"/>
      <c r="E188" s="894"/>
      <c r="F188" s="894"/>
      <c r="G188" s="887"/>
      <c r="H188" s="1255"/>
      <c r="I188" s="598">
        <v>1114600</v>
      </c>
      <c r="J188" s="599">
        <v>1</v>
      </c>
      <c r="K188" s="600" t="s">
        <v>451</v>
      </c>
      <c r="L188" s="600"/>
      <c r="M188" s="769" t="s">
        <v>126</v>
      </c>
      <c r="N188" s="710">
        <f>I188*J188</f>
        <v>1114600</v>
      </c>
      <c r="P188" s="545">
        <f t="shared" si="13"/>
        <v>0</v>
      </c>
      <c r="Q188" s="545">
        <f t="shared" si="14"/>
        <v>1114600</v>
      </c>
      <c r="R188" s="545">
        <f t="shared" si="15"/>
        <v>0</v>
      </c>
      <c r="S188" s="545">
        <f t="shared" si="16"/>
        <v>0</v>
      </c>
      <c r="T188" s="545">
        <f t="shared" si="17"/>
        <v>0</v>
      </c>
      <c r="U188" s="545">
        <f t="shared" si="18"/>
        <v>0</v>
      </c>
      <c r="V188" s="545">
        <f t="shared" si="22"/>
        <v>0</v>
      </c>
    </row>
    <row r="189" spans="1:22" s="546" customFormat="1" ht="21" customHeight="1">
      <c r="A189" s="887"/>
      <c r="B189" s="887"/>
      <c r="C189" s="887"/>
      <c r="D189" s="894"/>
      <c r="E189" s="894"/>
      <c r="F189" s="894"/>
      <c r="G189" s="887"/>
      <c r="H189" s="1254" t="s">
        <v>386</v>
      </c>
      <c r="I189" s="607">
        <v>1000000</v>
      </c>
      <c r="J189" s="608">
        <v>9</v>
      </c>
      <c r="K189" s="609" t="s">
        <v>451</v>
      </c>
      <c r="L189" s="609"/>
      <c r="M189" s="774" t="s">
        <v>33</v>
      </c>
      <c r="N189" s="708">
        <f t="shared" si="21"/>
        <v>9000000</v>
      </c>
      <c r="P189" s="545">
        <f t="shared" si="13"/>
        <v>9000000</v>
      </c>
      <c r="Q189" s="545">
        <f t="shared" si="14"/>
        <v>0</v>
      </c>
      <c r="R189" s="545">
        <f t="shared" si="15"/>
        <v>0</v>
      </c>
      <c r="S189" s="545">
        <f t="shared" si="16"/>
        <v>0</v>
      </c>
      <c r="T189" s="545">
        <f t="shared" si="17"/>
        <v>0</v>
      </c>
      <c r="U189" s="545">
        <f t="shared" si="18"/>
        <v>0</v>
      </c>
      <c r="V189" s="545">
        <f t="shared" si="22"/>
        <v>0</v>
      </c>
    </row>
    <row r="190" spans="1:22" s="546" customFormat="1" ht="21" customHeight="1">
      <c r="A190" s="887"/>
      <c r="B190" s="887"/>
      <c r="C190" s="887"/>
      <c r="D190" s="894"/>
      <c r="E190" s="894"/>
      <c r="F190" s="894"/>
      <c r="G190" s="887"/>
      <c r="H190" s="1258"/>
      <c r="I190" s="704">
        <v>2000000</v>
      </c>
      <c r="J190" s="705">
        <v>1</v>
      </c>
      <c r="K190" s="706" t="s">
        <v>464</v>
      </c>
      <c r="L190" s="706"/>
      <c r="M190" s="772" t="s">
        <v>457</v>
      </c>
      <c r="N190" s="773">
        <f t="shared" si="21"/>
        <v>2000000</v>
      </c>
      <c r="P190" s="545">
        <f t="shared" si="13"/>
        <v>0</v>
      </c>
      <c r="Q190" s="545">
        <f t="shared" si="14"/>
        <v>0</v>
      </c>
      <c r="R190" s="545">
        <f t="shared" si="15"/>
        <v>2000000</v>
      </c>
      <c r="S190" s="545">
        <f t="shared" si="16"/>
        <v>0</v>
      </c>
      <c r="T190" s="545">
        <f t="shared" si="17"/>
        <v>0</v>
      </c>
      <c r="U190" s="545">
        <f t="shared" si="18"/>
        <v>0</v>
      </c>
      <c r="V190" s="545">
        <f t="shared" si="22"/>
        <v>0</v>
      </c>
    </row>
    <row r="191" spans="1:22" s="546" customFormat="1" ht="21" customHeight="1">
      <c r="A191" s="887"/>
      <c r="B191" s="887"/>
      <c r="C191" s="887"/>
      <c r="D191" s="894"/>
      <c r="E191" s="894"/>
      <c r="F191" s="894"/>
      <c r="G191" s="887"/>
      <c r="H191" s="1258"/>
      <c r="I191" s="602">
        <v>1642670</v>
      </c>
      <c r="J191" s="603">
        <v>1</v>
      </c>
      <c r="K191" s="604" t="s">
        <v>464</v>
      </c>
      <c r="L191" s="604" t="s">
        <v>690</v>
      </c>
      <c r="M191" s="770" t="s">
        <v>208</v>
      </c>
      <c r="N191" s="767">
        <f t="shared" si="21"/>
        <v>1642670</v>
      </c>
      <c r="P191" s="545">
        <f t="shared" si="13"/>
        <v>0</v>
      </c>
      <c r="Q191" s="545">
        <f t="shared" si="14"/>
        <v>0</v>
      </c>
      <c r="R191" s="545">
        <f t="shared" si="15"/>
        <v>0</v>
      </c>
      <c r="S191" s="545">
        <f t="shared" si="16"/>
        <v>1642670</v>
      </c>
      <c r="T191" s="545">
        <f t="shared" si="17"/>
        <v>0</v>
      </c>
      <c r="U191" s="545">
        <f t="shared" si="18"/>
        <v>0</v>
      </c>
      <c r="V191" s="545">
        <f t="shared" si="22"/>
        <v>0</v>
      </c>
    </row>
    <row r="192" spans="1:22" s="546" customFormat="1" ht="21" customHeight="1">
      <c r="A192" s="887"/>
      <c r="B192" s="887"/>
      <c r="C192" s="887"/>
      <c r="D192" s="894"/>
      <c r="E192" s="894"/>
      <c r="F192" s="894"/>
      <c r="G192" s="887"/>
      <c r="H192" s="1258"/>
      <c r="I192" s="602">
        <v>3440000</v>
      </c>
      <c r="J192" s="603">
        <v>1</v>
      </c>
      <c r="K192" s="604" t="s">
        <v>464</v>
      </c>
      <c r="L192" s="604" t="s">
        <v>693</v>
      </c>
      <c r="M192" s="770" t="s">
        <v>208</v>
      </c>
      <c r="N192" s="767">
        <f t="shared" si="21"/>
        <v>3440000</v>
      </c>
      <c r="P192" s="545">
        <f t="shared" si="13"/>
        <v>0</v>
      </c>
      <c r="Q192" s="545">
        <f t="shared" si="14"/>
        <v>0</v>
      </c>
      <c r="R192" s="545">
        <f t="shared" si="15"/>
        <v>0</v>
      </c>
      <c r="S192" s="545">
        <f t="shared" si="16"/>
        <v>3440000</v>
      </c>
      <c r="T192" s="545">
        <f t="shared" si="17"/>
        <v>0</v>
      </c>
      <c r="U192" s="545">
        <f t="shared" si="18"/>
        <v>0</v>
      </c>
      <c r="V192" s="545">
        <f t="shared" si="22"/>
        <v>0</v>
      </c>
    </row>
    <row r="193" spans="1:22" s="546" customFormat="1" ht="21" customHeight="1">
      <c r="A193" s="887"/>
      <c r="B193" s="887"/>
      <c r="C193" s="887"/>
      <c r="D193" s="894"/>
      <c r="E193" s="894"/>
      <c r="F193" s="894"/>
      <c r="G193" s="887"/>
      <c r="H193" s="1258"/>
      <c r="I193" s="602">
        <v>3200000</v>
      </c>
      <c r="J193" s="603">
        <v>1</v>
      </c>
      <c r="K193" s="604" t="s">
        <v>623</v>
      </c>
      <c r="L193" s="604"/>
      <c r="M193" s="770" t="s">
        <v>659</v>
      </c>
      <c r="N193" s="767">
        <f t="shared" si="21"/>
        <v>3200000</v>
      </c>
      <c r="P193" s="545">
        <f t="shared" si="13"/>
        <v>0</v>
      </c>
      <c r="Q193" s="545">
        <f t="shared" si="14"/>
        <v>0</v>
      </c>
      <c r="R193" s="545">
        <f t="shared" si="15"/>
        <v>0</v>
      </c>
      <c r="S193" s="545">
        <f t="shared" si="16"/>
        <v>0</v>
      </c>
      <c r="T193" s="545">
        <f t="shared" si="17"/>
        <v>3200000</v>
      </c>
      <c r="U193" s="545">
        <f t="shared" si="18"/>
        <v>0</v>
      </c>
      <c r="V193" s="545">
        <f t="shared" si="22"/>
        <v>0</v>
      </c>
    </row>
    <row r="194" spans="1:22" s="546" customFormat="1" ht="21" customHeight="1">
      <c r="A194" s="887"/>
      <c r="B194" s="887"/>
      <c r="C194" s="887"/>
      <c r="D194" s="894"/>
      <c r="E194" s="894"/>
      <c r="F194" s="894"/>
      <c r="G194" s="887"/>
      <c r="H194" s="1255"/>
      <c r="I194" s="612">
        <v>1000000</v>
      </c>
      <c r="J194" s="613">
        <v>1</v>
      </c>
      <c r="K194" s="614" t="s">
        <v>464</v>
      </c>
      <c r="L194" s="614"/>
      <c r="M194" s="775" t="s">
        <v>126</v>
      </c>
      <c r="N194" s="776">
        <f t="shared" si="21"/>
        <v>1000000</v>
      </c>
      <c r="P194" s="545">
        <f t="shared" si="13"/>
        <v>0</v>
      </c>
      <c r="Q194" s="545">
        <f t="shared" si="14"/>
        <v>1000000</v>
      </c>
      <c r="R194" s="545">
        <f t="shared" si="15"/>
        <v>0</v>
      </c>
      <c r="S194" s="545">
        <f t="shared" si="16"/>
        <v>0</v>
      </c>
      <c r="T194" s="545">
        <f t="shared" si="17"/>
        <v>0</v>
      </c>
      <c r="U194" s="545">
        <f t="shared" si="18"/>
        <v>0</v>
      </c>
      <c r="V194" s="545">
        <f t="shared" si="22"/>
        <v>0</v>
      </c>
    </row>
    <row r="195" spans="1:22" s="546" customFormat="1" ht="21" customHeight="1">
      <c r="A195" s="887"/>
      <c r="B195" s="887"/>
      <c r="C195" s="887"/>
      <c r="D195" s="894"/>
      <c r="E195" s="894"/>
      <c r="F195" s="894"/>
      <c r="G195" s="887"/>
      <c r="H195" s="1258" t="s">
        <v>387</v>
      </c>
      <c r="I195" s="598">
        <v>1000000</v>
      </c>
      <c r="J195" s="599">
        <v>9</v>
      </c>
      <c r="K195" s="600" t="s">
        <v>451</v>
      </c>
      <c r="L195" s="600"/>
      <c r="M195" s="769" t="s">
        <v>33</v>
      </c>
      <c r="N195" s="710">
        <f t="shared" si="21"/>
        <v>9000000</v>
      </c>
      <c r="P195" s="545">
        <f t="shared" si="13"/>
        <v>9000000</v>
      </c>
      <c r="Q195" s="545">
        <f t="shared" si="14"/>
        <v>0</v>
      </c>
      <c r="R195" s="545">
        <f t="shared" si="15"/>
        <v>0</v>
      </c>
      <c r="S195" s="545">
        <f t="shared" si="16"/>
        <v>0</v>
      </c>
      <c r="T195" s="545">
        <f t="shared" si="17"/>
        <v>0</v>
      </c>
      <c r="U195" s="545">
        <f t="shared" si="18"/>
        <v>0</v>
      </c>
      <c r="V195" s="545">
        <f t="shared" si="22"/>
        <v>0</v>
      </c>
    </row>
    <row r="196" spans="1:22" s="546" customFormat="1" ht="21" customHeight="1">
      <c r="A196" s="887"/>
      <c r="B196" s="887"/>
      <c r="C196" s="887"/>
      <c r="D196" s="894"/>
      <c r="E196" s="894"/>
      <c r="F196" s="894"/>
      <c r="G196" s="887"/>
      <c r="H196" s="1258"/>
      <c r="I196" s="704">
        <v>2000000</v>
      </c>
      <c r="J196" s="705">
        <v>1</v>
      </c>
      <c r="K196" s="706" t="s">
        <v>451</v>
      </c>
      <c r="L196" s="706"/>
      <c r="M196" s="772" t="s">
        <v>457</v>
      </c>
      <c r="N196" s="773">
        <f t="shared" si="21"/>
        <v>2000000</v>
      </c>
      <c r="P196" s="545">
        <f t="shared" si="13"/>
        <v>0</v>
      </c>
      <c r="Q196" s="545">
        <f t="shared" si="14"/>
        <v>0</v>
      </c>
      <c r="R196" s="545">
        <f t="shared" si="15"/>
        <v>2000000</v>
      </c>
      <c r="S196" s="545">
        <f t="shared" si="16"/>
        <v>0</v>
      </c>
      <c r="T196" s="545">
        <f t="shared" si="17"/>
        <v>0</v>
      </c>
      <c r="U196" s="545">
        <f t="shared" si="18"/>
        <v>0</v>
      </c>
      <c r="V196" s="545">
        <f t="shared" si="22"/>
        <v>0</v>
      </c>
    </row>
    <row r="197" spans="1:22" s="546" customFormat="1" ht="21" customHeight="1">
      <c r="A197" s="887"/>
      <c r="B197" s="887"/>
      <c r="C197" s="887"/>
      <c r="D197" s="894"/>
      <c r="E197" s="894"/>
      <c r="F197" s="894"/>
      <c r="G197" s="887"/>
      <c r="H197" s="1258"/>
      <c r="I197" s="602">
        <v>4000000</v>
      </c>
      <c r="J197" s="603">
        <v>1</v>
      </c>
      <c r="K197" s="604" t="s">
        <v>464</v>
      </c>
      <c r="L197" s="604"/>
      <c r="M197" s="770" t="s">
        <v>209</v>
      </c>
      <c r="N197" s="767">
        <f t="shared" si="21"/>
        <v>4000000</v>
      </c>
      <c r="P197" s="545">
        <f t="shared" si="13"/>
        <v>0</v>
      </c>
      <c r="Q197" s="545">
        <f t="shared" si="14"/>
        <v>0</v>
      </c>
      <c r="R197" s="545">
        <f t="shared" si="15"/>
        <v>0</v>
      </c>
      <c r="S197" s="545">
        <f t="shared" si="16"/>
        <v>0</v>
      </c>
      <c r="T197" s="545">
        <f t="shared" si="17"/>
        <v>4000000</v>
      </c>
      <c r="U197" s="545">
        <f t="shared" si="18"/>
        <v>0</v>
      </c>
      <c r="V197" s="545">
        <f t="shared" si="22"/>
        <v>0</v>
      </c>
    </row>
    <row r="198" spans="1:22" s="546" customFormat="1" ht="21" customHeight="1">
      <c r="A198" s="887"/>
      <c r="B198" s="887"/>
      <c r="C198" s="887"/>
      <c r="D198" s="894"/>
      <c r="E198" s="894"/>
      <c r="F198" s="894"/>
      <c r="G198" s="887"/>
      <c r="H198" s="1258"/>
      <c r="I198" s="602">
        <v>2500000</v>
      </c>
      <c r="J198" s="603">
        <v>1</v>
      </c>
      <c r="K198" s="604" t="s">
        <v>464</v>
      </c>
      <c r="L198" s="604" t="s">
        <v>692</v>
      </c>
      <c r="M198" s="770" t="s">
        <v>208</v>
      </c>
      <c r="N198" s="767">
        <f t="shared" si="21"/>
        <v>2500000</v>
      </c>
      <c r="P198" s="545">
        <f t="shared" si="13"/>
        <v>0</v>
      </c>
      <c r="Q198" s="545">
        <f t="shared" si="14"/>
        <v>0</v>
      </c>
      <c r="R198" s="545">
        <f t="shared" si="15"/>
        <v>0</v>
      </c>
      <c r="S198" s="545">
        <f t="shared" si="16"/>
        <v>2500000</v>
      </c>
      <c r="T198" s="545">
        <f t="shared" si="17"/>
        <v>0</v>
      </c>
      <c r="U198" s="545">
        <f t="shared" si="18"/>
        <v>0</v>
      </c>
      <c r="V198" s="545">
        <f t="shared" si="22"/>
        <v>0</v>
      </c>
    </row>
    <row r="199" spans="1:22" s="546" customFormat="1" ht="21" customHeight="1">
      <c r="A199" s="887"/>
      <c r="B199" s="887"/>
      <c r="C199" s="887"/>
      <c r="D199" s="894"/>
      <c r="E199" s="894"/>
      <c r="F199" s="894"/>
      <c r="G199" s="887"/>
      <c r="H199" s="1258"/>
      <c r="I199" s="602">
        <v>1897340</v>
      </c>
      <c r="J199" s="603">
        <v>1</v>
      </c>
      <c r="K199" s="604" t="s">
        <v>623</v>
      </c>
      <c r="L199" s="604" t="s">
        <v>689</v>
      </c>
      <c r="M199" s="770" t="s">
        <v>666</v>
      </c>
      <c r="N199" s="767">
        <f t="shared" si="21"/>
        <v>1897340</v>
      </c>
      <c r="P199" s="545">
        <f t="shared" si="13"/>
        <v>0</v>
      </c>
      <c r="Q199" s="545">
        <f t="shared" si="14"/>
        <v>0</v>
      </c>
      <c r="R199" s="545">
        <f t="shared" si="15"/>
        <v>0</v>
      </c>
      <c r="S199" s="545">
        <f t="shared" si="16"/>
        <v>1897340</v>
      </c>
      <c r="T199" s="545">
        <f t="shared" si="17"/>
        <v>0</v>
      </c>
      <c r="U199" s="545">
        <f t="shared" si="18"/>
        <v>0</v>
      </c>
      <c r="V199" s="545">
        <f t="shared" si="22"/>
        <v>0</v>
      </c>
    </row>
    <row r="200" spans="1:22" s="546" customFormat="1" ht="21" customHeight="1">
      <c r="A200" s="887"/>
      <c r="B200" s="887"/>
      <c r="C200" s="887"/>
      <c r="D200" s="894"/>
      <c r="E200" s="894"/>
      <c r="F200" s="894"/>
      <c r="G200" s="887"/>
      <c r="H200" s="1258"/>
      <c r="I200" s="612">
        <v>1000000</v>
      </c>
      <c r="J200" s="603">
        <v>1</v>
      </c>
      <c r="K200" s="604" t="s">
        <v>464</v>
      </c>
      <c r="L200" s="604"/>
      <c r="M200" s="770" t="s">
        <v>126</v>
      </c>
      <c r="N200" s="767">
        <f t="shared" si="21"/>
        <v>1000000</v>
      </c>
      <c r="P200" s="545">
        <f t="shared" si="13"/>
        <v>0</v>
      </c>
      <c r="Q200" s="545">
        <f t="shared" si="14"/>
        <v>1000000</v>
      </c>
      <c r="R200" s="545">
        <f t="shared" si="15"/>
        <v>0</v>
      </c>
      <c r="S200" s="545">
        <f t="shared" si="16"/>
        <v>0</v>
      </c>
      <c r="T200" s="545">
        <f t="shared" si="17"/>
        <v>0</v>
      </c>
      <c r="U200" s="545">
        <f t="shared" si="18"/>
        <v>0</v>
      </c>
      <c r="V200" s="545">
        <f t="shared" si="22"/>
        <v>0</v>
      </c>
    </row>
    <row r="201" spans="1:22" s="546" customFormat="1" ht="21" customHeight="1">
      <c r="A201" s="887"/>
      <c r="B201" s="887"/>
      <c r="C201" s="887"/>
      <c r="D201" s="894"/>
      <c r="E201" s="894"/>
      <c r="F201" s="894"/>
      <c r="G201" s="887"/>
      <c r="H201" s="655" t="s">
        <v>388</v>
      </c>
      <c r="I201" s="607">
        <v>17600</v>
      </c>
      <c r="J201" s="608">
        <v>12</v>
      </c>
      <c r="K201" s="609" t="s">
        <v>451</v>
      </c>
      <c r="L201" s="609"/>
      <c r="M201" s="774" t="s">
        <v>33</v>
      </c>
      <c r="N201" s="708">
        <f t="shared" si="21"/>
        <v>211200</v>
      </c>
      <c r="P201" s="545">
        <f t="shared" si="13"/>
        <v>211200</v>
      </c>
      <c r="Q201" s="545">
        <f t="shared" si="14"/>
        <v>0</v>
      </c>
      <c r="R201" s="545">
        <f t="shared" si="15"/>
        <v>0</v>
      </c>
      <c r="S201" s="545">
        <f t="shared" si="16"/>
        <v>0</v>
      </c>
      <c r="T201" s="545">
        <f t="shared" si="17"/>
        <v>0</v>
      </c>
      <c r="U201" s="545">
        <f t="shared" si="18"/>
        <v>0</v>
      </c>
      <c r="V201" s="545">
        <f t="shared" si="22"/>
        <v>0</v>
      </c>
    </row>
    <row r="202" spans="1:22" s="546" customFormat="1" ht="21" customHeight="1">
      <c r="A202" s="887"/>
      <c r="B202" s="887"/>
      <c r="C202" s="887"/>
      <c r="D202" s="894"/>
      <c r="E202" s="894"/>
      <c r="F202" s="894"/>
      <c r="G202" s="887"/>
      <c r="H202" s="629" t="s">
        <v>389</v>
      </c>
      <c r="I202" s="618">
        <v>6000</v>
      </c>
      <c r="J202" s="619">
        <v>12</v>
      </c>
      <c r="K202" s="620" t="s">
        <v>451</v>
      </c>
      <c r="L202" s="620"/>
      <c r="M202" s="768" t="s">
        <v>33</v>
      </c>
      <c r="N202" s="701">
        <f t="shared" si="21"/>
        <v>72000</v>
      </c>
      <c r="P202" s="545">
        <f t="shared" si="13"/>
        <v>72000</v>
      </c>
      <c r="Q202" s="545">
        <f t="shared" si="14"/>
        <v>0</v>
      </c>
      <c r="R202" s="545">
        <f t="shared" si="15"/>
        <v>0</v>
      </c>
      <c r="S202" s="545">
        <f t="shared" si="16"/>
        <v>0</v>
      </c>
      <c r="T202" s="545">
        <f t="shared" si="17"/>
        <v>0</v>
      </c>
      <c r="U202" s="545">
        <f t="shared" si="18"/>
        <v>0</v>
      </c>
      <c r="V202" s="545">
        <f t="shared" si="22"/>
        <v>0</v>
      </c>
    </row>
    <row r="203" spans="1:22" s="546" customFormat="1" ht="21" customHeight="1" thickBot="1">
      <c r="A203" s="887"/>
      <c r="B203" s="887"/>
      <c r="C203" s="887"/>
      <c r="D203" s="894"/>
      <c r="E203" s="894"/>
      <c r="F203" s="894"/>
      <c r="G203" s="887"/>
      <c r="H203" s="734" t="s">
        <v>463</v>
      </c>
      <c r="I203" s="598">
        <v>3850</v>
      </c>
      <c r="J203" s="599">
        <v>12</v>
      </c>
      <c r="K203" s="600" t="s">
        <v>451</v>
      </c>
      <c r="L203" s="600"/>
      <c r="M203" s="769" t="s">
        <v>33</v>
      </c>
      <c r="N203" s="703">
        <f t="shared" si="21"/>
        <v>46200</v>
      </c>
      <c r="P203" s="545">
        <f t="shared" si="13"/>
        <v>46200</v>
      </c>
      <c r="Q203" s="545">
        <f t="shared" si="14"/>
        <v>0</v>
      </c>
      <c r="R203" s="545">
        <f t="shared" si="15"/>
        <v>0</v>
      </c>
      <c r="S203" s="545">
        <f t="shared" si="16"/>
        <v>0</v>
      </c>
      <c r="T203" s="545">
        <f t="shared" si="17"/>
        <v>0</v>
      </c>
      <c r="U203" s="545">
        <f t="shared" si="18"/>
        <v>0</v>
      </c>
      <c r="V203" s="545">
        <f t="shared" si="22"/>
        <v>0</v>
      </c>
    </row>
    <row r="204" spans="1:22" ht="15" thickBot="1">
      <c r="A204" s="887"/>
      <c r="B204" s="887"/>
      <c r="C204" s="577" t="s">
        <v>191</v>
      </c>
      <c r="D204" s="885">
        <v>10114400</v>
      </c>
      <c r="E204" s="577">
        <f>N204</f>
        <v>8217300</v>
      </c>
      <c r="F204" s="591">
        <f>N204</f>
        <v>8217300</v>
      </c>
      <c r="G204" s="577">
        <f>E204-D204</f>
        <v>-1897100</v>
      </c>
      <c r="H204" s="636" t="s">
        <v>191</v>
      </c>
      <c r="I204" s="637"/>
      <c r="J204" s="638"/>
      <c r="K204" s="783"/>
      <c r="L204" s="778"/>
      <c r="M204" s="779"/>
      <c r="N204" s="780">
        <f>N205+N209+N213</f>
        <v>8217300</v>
      </c>
      <c r="P204" s="439">
        <f>SUM(P205,P209,P213)</f>
        <v>6217300</v>
      </c>
      <c r="Q204" s="439">
        <f>SUM(Q205,Q209,Q213)</f>
        <v>0</v>
      </c>
      <c r="R204" s="439">
        <f>SUM(R205,R209,R213)</f>
        <v>2000000</v>
      </c>
      <c r="S204" s="545">
        <f t="shared" ref="S204:S239" si="23">IF($M204="지정후원금",$N204,0)</f>
        <v>0</v>
      </c>
      <c r="T204" s="545">
        <f t="shared" si="17"/>
        <v>0</v>
      </c>
      <c r="U204" s="545">
        <f t="shared" si="18"/>
        <v>0</v>
      </c>
      <c r="V204" s="439">
        <f>SUM(V205,V209,V213)</f>
        <v>0</v>
      </c>
    </row>
    <row r="205" spans="1:22" s="546" customFormat="1" ht="19.5" customHeight="1" thickBot="1">
      <c r="A205" s="887"/>
      <c r="B205" s="887"/>
      <c r="C205" s="887"/>
      <c r="D205" s="894"/>
      <c r="E205" s="894"/>
      <c r="F205" s="894"/>
      <c r="G205" s="887"/>
      <c r="H205" s="636" t="s">
        <v>192</v>
      </c>
      <c r="I205" s="637"/>
      <c r="J205" s="638"/>
      <c r="K205" s="783"/>
      <c r="L205" s="783"/>
      <c r="M205" s="779"/>
      <c r="N205" s="780">
        <f>SUM(N206:N208)</f>
        <v>2100000</v>
      </c>
      <c r="P205" s="548">
        <f>SUM(P206:P208)</f>
        <v>2100000</v>
      </c>
      <c r="Q205" s="548">
        <f>SUM(Q206:Q208)</f>
        <v>0</v>
      </c>
      <c r="R205" s="548">
        <f>SUM(R206:R208)</f>
        <v>0</v>
      </c>
      <c r="S205" s="545">
        <f t="shared" si="23"/>
        <v>0</v>
      </c>
      <c r="T205" s="545">
        <f t="shared" si="17"/>
        <v>0</v>
      </c>
      <c r="U205" s="545">
        <f t="shared" si="18"/>
        <v>0</v>
      </c>
      <c r="V205" s="548">
        <f>SUM(V206:V208)</f>
        <v>0</v>
      </c>
    </row>
    <row r="206" spans="1:22" s="546" customFormat="1" ht="21" customHeight="1">
      <c r="A206" s="887"/>
      <c r="B206" s="887"/>
      <c r="C206" s="887"/>
      <c r="D206" s="894"/>
      <c r="E206" s="894"/>
      <c r="F206" s="894"/>
      <c r="G206" s="887"/>
      <c r="H206" s="1015" t="s">
        <v>390</v>
      </c>
      <c r="I206" s="695">
        <v>700000</v>
      </c>
      <c r="J206" s="696">
        <v>1</v>
      </c>
      <c r="K206" s="697" t="s">
        <v>464</v>
      </c>
      <c r="L206" s="697"/>
      <c r="M206" s="789" t="s">
        <v>33</v>
      </c>
      <c r="N206" s="1016">
        <f>I206*J206</f>
        <v>700000</v>
      </c>
      <c r="P206" s="545">
        <f t="shared" ref="P206:P208" si="24">IF($M206="보조금",$N206,0)</f>
        <v>700000</v>
      </c>
      <c r="Q206" s="545">
        <f t="shared" ref="Q206:Q208" si="25">IF($M206="법인전입금",$N206,0)</f>
        <v>0</v>
      </c>
      <c r="R206" s="545">
        <f t="shared" ref="R206:R208" si="26">IF($M206="구법인",$N206,0)</f>
        <v>0</v>
      </c>
      <c r="S206" s="545">
        <f t="shared" si="23"/>
        <v>0</v>
      </c>
      <c r="T206" s="545">
        <f t="shared" si="17"/>
        <v>0</v>
      </c>
      <c r="U206" s="545">
        <f t="shared" si="18"/>
        <v>0</v>
      </c>
      <c r="V206" s="545">
        <f>IF(OR($M206="잡지출"),$N206,0)</f>
        <v>0</v>
      </c>
    </row>
    <row r="207" spans="1:22" s="546" customFormat="1" ht="21" customHeight="1">
      <c r="A207" s="887"/>
      <c r="B207" s="887"/>
      <c r="C207" s="887"/>
      <c r="D207" s="894"/>
      <c r="E207" s="894"/>
      <c r="F207" s="894"/>
      <c r="G207" s="887"/>
      <c r="H207" s="1015" t="s">
        <v>407</v>
      </c>
      <c r="I207" s="695">
        <v>700000</v>
      </c>
      <c r="J207" s="696">
        <v>1</v>
      </c>
      <c r="K207" s="697" t="s">
        <v>464</v>
      </c>
      <c r="L207" s="697"/>
      <c r="M207" s="789" t="s">
        <v>33</v>
      </c>
      <c r="N207" s="1017">
        <f>I207*J207</f>
        <v>700000</v>
      </c>
      <c r="P207" s="545">
        <f t="shared" si="24"/>
        <v>700000</v>
      </c>
      <c r="Q207" s="545">
        <f t="shared" si="25"/>
        <v>0</v>
      </c>
      <c r="R207" s="545">
        <f t="shared" si="26"/>
        <v>0</v>
      </c>
      <c r="S207" s="545">
        <f t="shared" si="23"/>
        <v>0</v>
      </c>
      <c r="T207" s="545">
        <f t="shared" si="17"/>
        <v>0</v>
      </c>
      <c r="U207" s="545">
        <f t="shared" si="18"/>
        <v>0</v>
      </c>
      <c r="V207" s="545">
        <f>IF(OR($M207="잡지출"),$N207,0)</f>
        <v>0</v>
      </c>
    </row>
    <row r="208" spans="1:22" s="546" customFormat="1" ht="21" customHeight="1" thickBot="1">
      <c r="A208" s="887"/>
      <c r="B208" s="887"/>
      <c r="C208" s="887"/>
      <c r="D208" s="894"/>
      <c r="E208" s="894"/>
      <c r="F208" s="894"/>
      <c r="G208" s="887"/>
      <c r="H208" s="1015" t="s">
        <v>391</v>
      </c>
      <c r="I208" s="695">
        <v>700000</v>
      </c>
      <c r="J208" s="696">
        <v>1</v>
      </c>
      <c r="K208" s="697" t="s">
        <v>464</v>
      </c>
      <c r="L208" s="697"/>
      <c r="M208" s="789" t="s">
        <v>33</v>
      </c>
      <c r="N208" s="1017">
        <f>I208*J208</f>
        <v>700000</v>
      </c>
      <c r="P208" s="545">
        <f t="shared" si="24"/>
        <v>700000</v>
      </c>
      <c r="Q208" s="545">
        <f t="shared" si="25"/>
        <v>0</v>
      </c>
      <c r="R208" s="545">
        <f t="shared" si="26"/>
        <v>0</v>
      </c>
      <c r="S208" s="545">
        <f t="shared" si="23"/>
        <v>0</v>
      </c>
      <c r="T208" s="545">
        <f t="shared" si="17"/>
        <v>0</v>
      </c>
      <c r="U208" s="545">
        <f t="shared" si="18"/>
        <v>0</v>
      </c>
      <c r="V208" s="545">
        <f>IF(OR($M208="잡지출"),$N208,0)</f>
        <v>0</v>
      </c>
    </row>
    <row r="209" spans="1:22" s="546" customFormat="1" ht="21" customHeight="1" thickBot="1">
      <c r="A209" s="887"/>
      <c r="B209" s="887"/>
      <c r="C209" s="887"/>
      <c r="D209" s="894"/>
      <c r="E209" s="894"/>
      <c r="F209" s="894"/>
      <c r="G209" s="887"/>
      <c r="H209" s="636" t="s">
        <v>392</v>
      </c>
      <c r="I209" s="637"/>
      <c r="J209" s="638"/>
      <c r="K209" s="638"/>
      <c r="L209" s="783"/>
      <c r="M209" s="779"/>
      <c r="N209" s="780">
        <f>SUM(N210:N212)</f>
        <v>210000</v>
      </c>
      <c r="P209" s="548">
        <f>SUM(P210:P212)</f>
        <v>210000</v>
      </c>
      <c r="Q209" s="548">
        <f>SUM(Q210:Q212)</f>
        <v>0</v>
      </c>
      <c r="R209" s="548">
        <f>SUM(R210:R212)</f>
        <v>0</v>
      </c>
      <c r="S209" s="545">
        <f t="shared" si="23"/>
        <v>0</v>
      </c>
      <c r="T209" s="545">
        <f t="shared" ref="T209:T239" si="27">IF($M209="비지정후원금",$N209,0)</f>
        <v>0</v>
      </c>
      <c r="U209" s="545">
        <f t="shared" ref="U209:U239" si="28">IF(OR($M209="수익사업"),$N209,0)</f>
        <v>0</v>
      </c>
      <c r="V209" s="548">
        <f>SUM(V210:V212)</f>
        <v>0</v>
      </c>
    </row>
    <row r="210" spans="1:22" s="546" customFormat="1" ht="21" customHeight="1">
      <c r="A210" s="887"/>
      <c r="B210" s="887"/>
      <c r="C210" s="887"/>
      <c r="D210" s="894"/>
      <c r="E210" s="894"/>
      <c r="F210" s="894"/>
      <c r="G210" s="887"/>
      <c r="H210" s="1015" t="s">
        <v>393</v>
      </c>
      <c r="I210" s="695">
        <v>65000</v>
      </c>
      <c r="J210" s="696">
        <v>1</v>
      </c>
      <c r="K210" s="697" t="s">
        <v>464</v>
      </c>
      <c r="L210" s="697"/>
      <c r="M210" s="789" t="s">
        <v>33</v>
      </c>
      <c r="N210" s="1017">
        <f>I210*J210</f>
        <v>65000</v>
      </c>
      <c r="P210" s="545">
        <f t="shared" ref="P210:P212" si="29">IF($M210="보조금",$N210,0)</f>
        <v>65000</v>
      </c>
      <c r="Q210" s="545">
        <f t="shared" ref="Q210:Q212" si="30">IF($M210="법인전입금",$N210,0)</f>
        <v>0</v>
      </c>
      <c r="R210" s="545">
        <f t="shared" ref="R210:R212" si="31">IF($M210="구법인",$N210,0)</f>
        <v>0</v>
      </c>
      <c r="S210" s="545">
        <f t="shared" si="23"/>
        <v>0</v>
      </c>
      <c r="T210" s="545">
        <f t="shared" si="17"/>
        <v>0</v>
      </c>
      <c r="U210" s="545">
        <f t="shared" si="18"/>
        <v>0</v>
      </c>
      <c r="V210" s="545">
        <f>IF(OR($M210="잡지출"),$N210,0)</f>
        <v>0</v>
      </c>
    </row>
    <row r="211" spans="1:22" s="546" customFormat="1" ht="21" customHeight="1">
      <c r="A211" s="887"/>
      <c r="B211" s="887"/>
      <c r="C211" s="887"/>
      <c r="D211" s="894"/>
      <c r="E211" s="894"/>
      <c r="F211" s="894"/>
      <c r="G211" s="887"/>
      <c r="H211" s="1015" t="s">
        <v>406</v>
      </c>
      <c r="I211" s="695">
        <v>65000</v>
      </c>
      <c r="J211" s="696">
        <v>1</v>
      </c>
      <c r="K211" s="697" t="s">
        <v>464</v>
      </c>
      <c r="L211" s="697"/>
      <c r="M211" s="789" t="s">
        <v>33</v>
      </c>
      <c r="N211" s="1017">
        <f>I211*J211</f>
        <v>65000</v>
      </c>
      <c r="P211" s="545">
        <f t="shared" si="29"/>
        <v>65000</v>
      </c>
      <c r="Q211" s="545">
        <f t="shared" si="30"/>
        <v>0</v>
      </c>
      <c r="R211" s="545">
        <f t="shared" si="31"/>
        <v>0</v>
      </c>
      <c r="S211" s="545">
        <f t="shared" si="23"/>
        <v>0</v>
      </c>
      <c r="T211" s="545">
        <f t="shared" si="17"/>
        <v>0</v>
      </c>
      <c r="U211" s="545">
        <f t="shared" si="18"/>
        <v>0</v>
      </c>
      <c r="V211" s="545">
        <f>IF(OR($M211="잡지출"),$N211,0)</f>
        <v>0</v>
      </c>
    </row>
    <row r="212" spans="1:22" s="546" customFormat="1" ht="21" customHeight="1" thickBot="1">
      <c r="A212" s="887"/>
      <c r="B212" s="887"/>
      <c r="C212" s="887"/>
      <c r="D212" s="894"/>
      <c r="E212" s="894"/>
      <c r="F212" s="894"/>
      <c r="G212" s="887"/>
      <c r="H212" s="1015" t="s">
        <v>394</v>
      </c>
      <c r="I212" s="695">
        <v>80000</v>
      </c>
      <c r="J212" s="696">
        <v>1</v>
      </c>
      <c r="K212" s="697" t="s">
        <v>464</v>
      </c>
      <c r="L212" s="697"/>
      <c r="M212" s="789" t="s">
        <v>33</v>
      </c>
      <c r="N212" s="1017">
        <f>I212*J212</f>
        <v>80000</v>
      </c>
      <c r="P212" s="545">
        <f t="shared" si="29"/>
        <v>80000</v>
      </c>
      <c r="Q212" s="545">
        <f t="shared" si="30"/>
        <v>0</v>
      </c>
      <c r="R212" s="545">
        <f t="shared" si="31"/>
        <v>0</v>
      </c>
      <c r="S212" s="545">
        <f t="shared" si="23"/>
        <v>0</v>
      </c>
      <c r="T212" s="545">
        <f t="shared" si="17"/>
        <v>0</v>
      </c>
      <c r="U212" s="545">
        <f t="shared" si="18"/>
        <v>0</v>
      </c>
      <c r="V212" s="545">
        <f>IF(OR($M212="잡지출"),$N212,0)</f>
        <v>0</v>
      </c>
    </row>
    <row r="213" spans="1:22" s="546" customFormat="1" ht="21" customHeight="1" thickBot="1">
      <c r="A213" s="887"/>
      <c r="B213" s="887"/>
      <c r="C213" s="887"/>
      <c r="D213" s="894"/>
      <c r="E213" s="894"/>
      <c r="F213" s="894"/>
      <c r="G213" s="887"/>
      <c r="H213" s="636" t="s">
        <v>193</v>
      </c>
      <c r="I213" s="637"/>
      <c r="J213" s="638"/>
      <c r="K213" s="783"/>
      <c r="L213" s="778"/>
      <c r="M213" s="779"/>
      <c r="N213" s="780">
        <f>SUM(N214:N224)</f>
        <v>5907300</v>
      </c>
      <c r="P213" s="548">
        <f>SUM(P214:P224)</f>
        <v>3907300</v>
      </c>
      <c r="Q213" s="548">
        <f>SUM(Q214:Q224)</f>
        <v>0</v>
      </c>
      <c r="R213" s="548">
        <f>SUM(R214:R224)</f>
        <v>2000000</v>
      </c>
      <c r="S213" s="545">
        <f t="shared" si="23"/>
        <v>0</v>
      </c>
      <c r="T213" s="545">
        <f t="shared" si="27"/>
        <v>0</v>
      </c>
      <c r="U213" s="545">
        <f t="shared" si="28"/>
        <v>0</v>
      </c>
      <c r="V213" s="548">
        <f>SUM(V214:V224)</f>
        <v>0</v>
      </c>
    </row>
    <row r="214" spans="1:22" s="546" customFormat="1" ht="21" customHeight="1">
      <c r="A214" s="887"/>
      <c r="B214" s="887"/>
      <c r="C214" s="887"/>
      <c r="D214" s="894"/>
      <c r="E214" s="894"/>
      <c r="F214" s="894"/>
      <c r="G214" s="887"/>
      <c r="H214" s="1015" t="s">
        <v>395</v>
      </c>
      <c r="I214" s="695">
        <v>683000</v>
      </c>
      <c r="J214" s="696">
        <v>1</v>
      </c>
      <c r="K214" s="697" t="s">
        <v>464</v>
      </c>
      <c r="L214" s="697"/>
      <c r="M214" s="789" t="s">
        <v>33</v>
      </c>
      <c r="N214" s="1017">
        <f t="shared" ref="N214:N224" si="32">I214*J214</f>
        <v>683000</v>
      </c>
      <c r="P214" s="545">
        <f t="shared" ref="P214:P224" si="33">IF($M214="보조금",$N214,0)</f>
        <v>683000</v>
      </c>
      <c r="Q214" s="545">
        <f t="shared" ref="Q214:Q224" si="34">IF($M214="법인전입금",$N214,0)</f>
        <v>0</v>
      </c>
      <c r="R214" s="545">
        <f t="shared" ref="R214:R224" si="35">IF($M214="구법인",$N214,0)</f>
        <v>0</v>
      </c>
      <c r="S214" s="545">
        <f t="shared" si="23"/>
        <v>0</v>
      </c>
      <c r="T214" s="545">
        <f t="shared" si="17"/>
        <v>0</v>
      </c>
      <c r="U214" s="545">
        <f t="shared" si="18"/>
        <v>0</v>
      </c>
      <c r="V214" s="545">
        <f t="shared" ref="V214:V224" si="36">IF(OR($M214="잡지출"),$N214,0)</f>
        <v>0</v>
      </c>
    </row>
    <row r="215" spans="1:22" s="546" customFormat="1" ht="21" customHeight="1">
      <c r="A215" s="887"/>
      <c r="B215" s="887"/>
      <c r="C215" s="887"/>
      <c r="D215" s="894"/>
      <c r="E215" s="894"/>
      <c r="F215" s="894"/>
      <c r="G215" s="887"/>
      <c r="H215" s="1015" t="s">
        <v>466</v>
      </c>
      <c r="I215" s="695">
        <v>35000</v>
      </c>
      <c r="J215" s="696">
        <v>1</v>
      </c>
      <c r="K215" s="697" t="s">
        <v>464</v>
      </c>
      <c r="L215" s="697"/>
      <c r="M215" s="789" t="s">
        <v>33</v>
      </c>
      <c r="N215" s="1017">
        <f t="shared" si="32"/>
        <v>35000</v>
      </c>
      <c r="P215" s="545">
        <f t="shared" si="33"/>
        <v>35000</v>
      </c>
      <c r="Q215" s="545">
        <f t="shared" si="34"/>
        <v>0</v>
      </c>
      <c r="R215" s="545">
        <f t="shared" si="35"/>
        <v>0</v>
      </c>
      <c r="S215" s="545">
        <f t="shared" si="23"/>
        <v>0</v>
      </c>
      <c r="T215" s="545">
        <f t="shared" si="17"/>
        <v>0</v>
      </c>
      <c r="U215" s="545">
        <f t="shared" si="18"/>
        <v>0</v>
      </c>
      <c r="V215" s="545">
        <f t="shared" si="36"/>
        <v>0</v>
      </c>
    </row>
    <row r="216" spans="1:22" s="546" customFormat="1" ht="21" customHeight="1">
      <c r="A216" s="887"/>
      <c r="B216" s="887"/>
      <c r="C216" s="887"/>
      <c r="D216" s="894"/>
      <c r="E216" s="894"/>
      <c r="F216" s="894"/>
      <c r="G216" s="887"/>
      <c r="H216" s="1015" t="s">
        <v>396</v>
      </c>
      <c r="I216" s="695">
        <v>20000</v>
      </c>
      <c r="J216" s="696">
        <v>1</v>
      </c>
      <c r="K216" s="697" t="s">
        <v>464</v>
      </c>
      <c r="L216" s="697"/>
      <c r="M216" s="789" t="s">
        <v>33</v>
      </c>
      <c r="N216" s="1017">
        <f t="shared" si="32"/>
        <v>20000</v>
      </c>
      <c r="P216" s="545">
        <f t="shared" si="33"/>
        <v>20000</v>
      </c>
      <c r="Q216" s="545">
        <f t="shared" si="34"/>
        <v>0</v>
      </c>
      <c r="R216" s="545">
        <f t="shared" si="35"/>
        <v>0</v>
      </c>
      <c r="S216" s="545">
        <f t="shared" si="23"/>
        <v>0</v>
      </c>
      <c r="T216" s="545">
        <f t="shared" si="17"/>
        <v>0</v>
      </c>
      <c r="U216" s="545">
        <f t="shared" si="18"/>
        <v>0</v>
      </c>
      <c r="V216" s="545">
        <f t="shared" si="36"/>
        <v>0</v>
      </c>
    </row>
    <row r="217" spans="1:22" s="546" customFormat="1" ht="21" customHeight="1">
      <c r="A217" s="887"/>
      <c r="B217" s="887"/>
      <c r="C217" s="887"/>
      <c r="D217" s="894"/>
      <c r="E217" s="894"/>
      <c r="F217" s="894"/>
      <c r="G217" s="887"/>
      <c r="H217" s="1015" t="s">
        <v>436</v>
      </c>
      <c r="I217" s="695">
        <v>20000</v>
      </c>
      <c r="J217" s="696">
        <v>1</v>
      </c>
      <c r="K217" s="697" t="s">
        <v>464</v>
      </c>
      <c r="L217" s="697"/>
      <c r="M217" s="789" t="s">
        <v>33</v>
      </c>
      <c r="N217" s="1017">
        <f t="shared" si="32"/>
        <v>20000</v>
      </c>
      <c r="P217" s="545">
        <f t="shared" si="33"/>
        <v>20000</v>
      </c>
      <c r="Q217" s="545">
        <f t="shared" si="34"/>
        <v>0</v>
      </c>
      <c r="R217" s="545">
        <f t="shared" si="35"/>
        <v>0</v>
      </c>
      <c r="S217" s="545">
        <f t="shared" si="23"/>
        <v>0</v>
      </c>
      <c r="T217" s="545">
        <f t="shared" si="17"/>
        <v>0</v>
      </c>
      <c r="U217" s="545">
        <f t="shared" si="18"/>
        <v>0</v>
      </c>
      <c r="V217" s="545">
        <f t="shared" si="36"/>
        <v>0</v>
      </c>
    </row>
    <row r="218" spans="1:22" s="546" customFormat="1" ht="21" customHeight="1">
      <c r="A218" s="887"/>
      <c r="B218" s="887"/>
      <c r="C218" s="887"/>
      <c r="D218" s="894"/>
      <c r="E218" s="894"/>
      <c r="F218" s="894"/>
      <c r="G218" s="887"/>
      <c r="H218" s="1015" t="s">
        <v>397</v>
      </c>
      <c r="I218" s="695">
        <v>30000</v>
      </c>
      <c r="J218" s="696">
        <v>2</v>
      </c>
      <c r="K218" s="697" t="s">
        <v>453</v>
      </c>
      <c r="L218" s="697"/>
      <c r="M218" s="789" t="s">
        <v>33</v>
      </c>
      <c r="N218" s="1017">
        <f t="shared" si="32"/>
        <v>60000</v>
      </c>
      <c r="P218" s="545">
        <f t="shared" si="33"/>
        <v>60000</v>
      </c>
      <c r="Q218" s="545">
        <f t="shared" si="34"/>
        <v>0</v>
      </c>
      <c r="R218" s="545">
        <f t="shared" si="35"/>
        <v>0</v>
      </c>
      <c r="S218" s="545">
        <f t="shared" si="23"/>
        <v>0</v>
      </c>
      <c r="T218" s="545">
        <f t="shared" si="17"/>
        <v>0</v>
      </c>
      <c r="U218" s="545">
        <f t="shared" si="18"/>
        <v>0</v>
      </c>
      <c r="V218" s="545">
        <f t="shared" si="36"/>
        <v>0</v>
      </c>
    </row>
    <row r="219" spans="1:22" s="546" customFormat="1" ht="21" customHeight="1">
      <c r="A219" s="887"/>
      <c r="B219" s="887"/>
      <c r="C219" s="887"/>
      <c r="D219" s="894"/>
      <c r="E219" s="894"/>
      <c r="F219" s="894"/>
      <c r="G219" s="887"/>
      <c r="H219" s="1015" t="s">
        <v>687</v>
      </c>
      <c r="I219" s="695">
        <v>720060</v>
      </c>
      <c r="J219" s="696">
        <v>1</v>
      </c>
      <c r="K219" s="697" t="s">
        <v>464</v>
      </c>
      <c r="L219" s="697"/>
      <c r="M219" s="789" t="s">
        <v>33</v>
      </c>
      <c r="N219" s="1017">
        <f t="shared" si="32"/>
        <v>720060</v>
      </c>
      <c r="P219" s="545">
        <f t="shared" si="33"/>
        <v>720060</v>
      </c>
      <c r="Q219" s="545">
        <f t="shared" si="34"/>
        <v>0</v>
      </c>
      <c r="R219" s="545">
        <f t="shared" si="35"/>
        <v>0</v>
      </c>
      <c r="S219" s="545">
        <f t="shared" si="23"/>
        <v>0</v>
      </c>
      <c r="T219" s="545">
        <f t="shared" si="17"/>
        <v>0</v>
      </c>
      <c r="U219" s="545">
        <f t="shared" si="18"/>
        <v>0</v>
      </c>
      <c r="V219" s="545">
        <f t="shared" si="36"/>
        <v>0</v>
      </c>
    </row>
    <row r="220" spans="1:22" s="546" customFormat="1" ht="21" customHeight="1">
      <c r="A220" s="887"/>
      <c r="B220" s="887"/>
      <c r="C220" s="887"/>
      <c r="D220" s="894"/>
      <c r="E220" s="894"/>
      <c r="F220" s="894"/>
      <c r="G220" s="887"/>
      <c r="H220" s="1015" t="s">
        <v>465</v>
      </c>
      <c r="I220" s="695">
        <v>9000</v>
      </c>
      <c r="J220" s="696">
        <v>1</v>
      </c>
      <c r="K220" s="697" t="s">
        <v>464</v>
      </c>
      <c r="L220" s="697"/>
      <c r="M220" s="789" t="s">
        <v>33</v>
      </c>
      <c r="N220" s="1017">
        <f t="shared" si="32"/>
        <v>9000</v>
      </c>
      <c r="P220" s="545">
        <f t="shared" si="33"/>
        <v>9000</v>
      </c>
      <c r="Q220" s="545">
        <f t="shared" si="34"/>
        <v>0</v>
      </c>
      <c r="R220" s="545">
        <f t="shared" si="35"/>
        <v>0</v>
      </c>
      <c r="S220" s="545">
        <f t="shared" si="23"/>
        <v>0</v>
      </c>
      <c r="T220" s="545">
        <f t="shared" si="17"/>
        <v>0</v>
      </c>
      <c r="U220" s="545">
        <f t="shared" si="18"/>
        <v>0</v>
      </c>
      <c r="V220" s="545">
        <f t="shared" si="36"/>
        <v>0</v>
      </c>
    </row>
    <row r="221" spans="1:22" s="546" customFormat="1" ht="21" customHeight="1">
      <c r="A221" s="887"/>
      <c r="B221" s="887"/>
      <c r="C221" s="887"/>
      <c r="D221" s="894"/>
      <c r="E221" s="894"/>
      <c r="F221" s="894"/>
      <c r="G221" s="887"/>
      <c r="H221" s="1015" t="s">
        <v>398</v>
      </c>
      <c r="I221" s="695">
        <v>2160000</v>
      </c>
      <c r="J221" s="696">
        <v>1</v>
      </c>
      <c r="K221" s="697" t="s">
        <v>464</v>
      </c>
      <c r="L221" s="697"/>
      <c r="M221" s="789" t="s">
        <v>33</v>
      </c>
      <c r="N221" s="1017">
        <f t="shared" si="32"/>
        <v>2160000</v>
      </c>
      <c r="P221" s="545">
        <f t="shared" si="33"/>
        <v>2160000</v>
      </c>
      <c r="Q221" s="545">
        <f t="shared" si="34"/>
        <v>0</v>
      </c>
      <c r="R221" s="545">
        <f t="shared" si="35"/>
        <v>0</v>
      </c>
      <c r="S221" s="545">
        <f t="shared" si="23"/>
        <v>0</v>
      </c>
      <c r="T221" s="545">
        <f t="shared" si="17"/>
        <v>0</v>
      </c>
      <c r="U221" s="545">
        <f t="shared" si="18"/>
        <v>0</v>
      </c>
      <c r="V221" s="545">
        <f t="shared" si="36"/>
        <v>0</v>
      </c>
    </row>
    <row r="222" spans="1:22" s="546" customFormat="1" ht="21" customHeight="1">
      <c r="A222" s="887"/>
      <c r="B222" s="887"/>
      <c r="C222" s="887"/>
      <c r="D222" s="894"/>
      <c r="E222" s="894"/>
      <c r="F222" s="894"/>
      <c r="G222" s="887"/>
      <c r="H222" s="786" t="s">
        <v>523</v>
      </c>
      <c r="I222" s="602"/>
      <c r="J222" s="705"/>
      <c r="K222" s="706"/>
      <c r="L222" s="604"/>
      <c r="M222" s="770"/>
      <c r="N222" s="773">
        <f t="shared" si="32"/>
        <v>0</v>
      </c>
      <c r="P222" s="545">
        <f t="shared" si="33"/>
        <v>0</v>
      </c>
      <c r="Q222" s="545">
        <f t="shared" si="34"/>
        <v>0</v>
      </c>
      <c r="R222" s="545">
        <f t="shared" si="35"/>
        <v>0</v>
      </c>
      <c r="S222" s="545">
        <f t="shared" si="23"/>
        <v>0</v>
      </c>
      <c r="T222" s="545">
        <f t="shared" si="17"/>
        <v>0</v>
      </c>
      <c r="U222" s="545">
        <f t="shared" si="18"/>
        <v>0</v>
      </c>
      <c r="V222" s="545">
        <f t="shared" si="36"/>
        <v>0</v>
      </c>
    </row>
    <row r="223" spans="1:22" s="546" customFormat="1" ht="21" customHeight="1">
      <c r="A223" s="887"/>
      <c r="B223" s="887"/>
      <c r="C223" s="887"/>
      <c r="D223" s="894"/>
      <c r="E223" s="894"/>
      <c r="F223" s="894"/>
      <c r="G223" s="887"/>
      <c r="H223" s="782" t="s">
        <v>193</v>
      </c>
      <c r="I223" s="602">
        <v>2000000</v>
      </c>
      <c r="J223" s="705">
        <v>1</v>
      </c>
      <c r="K223" s="706" t="s">
        <v>464</v>
      </c>
      <c r="L223" s="604"/>
      <c r="M223" s="770" t="s">
        <v>457</v>
      </c>
      <c r="N223" s="773">
        <f t="shared" si="32"/>
        <v>2000000</v>
      </c>
      <c r="P223" s="545">
        <f t="shared" si="33"/>
        <v>0</v>
      </c>
      <c r="Q223" s="545">
        <f t="shared" si="34"/>
        <v>0</v>
      </c>
      <c r="R223" s="545">
        <f t="shared" si="35"/>
        <v>2000000</v>
      </c>
      <c r="S223" s="545">
        <f t="shared" si="23"/>
        <v>0</v>
      </c>
      <c r="T223" s="545">
        <f t="shared" si="17"/>
        <v>0</v>
      </c>
      <c r="U223" s="545">
        <f t="shared" si="18"/>
        <v>0</v>
      </c>
      <c r="V223" s="545">
        <f t="shared" si="36"/>
        <v>0</v>
      </c>
    </row>
    <row r="224" spans="1:22" s="546" customFormat="1" ht="21" customHeight="1" thickBot="1">
      <c r="A224" s="887"/>
      <c r="B224" s="887"/>
      <c r="C224" s="887"/>
      <c r="D224" s="894"/>
      <c r="E224" s="894"/>
      <c r="F224" s="894"/>
      <c r="G224" s="887"/>
      <c r="H224" s="782" t="s">
        <v>193</v>
      </c>
      <c r="I224" s="602">
        <v>200240</v>
      </c>
      <c r="J224" s="705">
        <v>1</v>
      </c>
      <c r="K224" s="706" t="s">
        <v>464</v>
      </c>
      <c r="L224" s="604"/>
      <c r="M224" s="770" t="s">
        <v>33</v>
      </c>
      <c r="N224" s="767">
        <f t="shared" si="32"/>
        <v>200240</v>
      </c>
      <c r="P224" s="545">
        <f t="shared" si="33"/>
        <v>200240</v>
      </c>
      <c r="Q224" s="545">
        <f t="shared" si="34"/>
        <v>0</v>
      </c>
      <c r="R224" s="545">
        <f t="shared" si="35"/>
        <v>0</v>
      </c>
      <c r="S224" s="545">
        <f t="shared" si="23"/>
        <v>0</v>
      </c>
      <c r="T224" s="545">
        <f t="shared" ref="T224" si="37">IF($M224="비지정후원금",$N224,0)</f>
        <v>0</v>
      </c>
      <c r="U224" s="545">
        <f t="shared" ref="U224" si="38">IF(OR($M224="수익사업"),$N224,0)</f>
        <v>0</v>
      </c>
      <c r="V224" s="545">
        <f t="shared" si="36"/>
        <v>0</v>
      </c>
    </row>
    <row r="225" spans="1:22" s="546" customFormat="1" ht="21" customHeight="1" thickBot="1">
      <c r="A225" s="887"/>
      <c r="B225" s="887"/>
      <c r="C225" s="895" t="s">
        <v>194</v>
      </c>
      <c r="D225" s="885">
        <v>8478790</v>
      </c>
      <c r="E225" s="577">
        <f>N225</f>
        <v>9500000</v>
      </c>
      <c r="F225" s="591">
        <f>N225</f>
        <v>9500000</v>
      </c>
      <c r="G225" s="577">
        <f>E225-D225</f>
        <v>1021210</v>
      </c>
      <c r="H225" s="636" t="s">
        <v>194</v>
      </c>
      <c r="I225" s="810"/>
      <c r="J225" s="811"/>
      <c r="K225" s="811"/>
      <c r="L225" s="778"/>
      <c r="M225" s="779"/>
      <c r="N225" s="596">
        <f>SUM(N226:N232)</f>
        <v>9500000</v>
      </c>
      <c r="P225" s="546">
        <f t="shared" ref="P225:V225" si="39">SUM(P226:P232)</f>
        <v>3700000</v>
      </c>
      <c r="Q225" s="546">
        <f t="shared" si="39"/>
        <v>600000</v>
      </c>
      <c r="R225" s="546">
        <f t="shared" si="39"/>
        <v>1700000</v>
      </c>
      <c r="S225" s="546">
        <f t="shared" si="39"/>
        <v>0</v>
      </c>
      <c r="T225" s="546">
        <f t="shared" si="39"/>
        <v>3500000</v>
      </c>
      <c r="U225" s="546">
        <f t="shared" si="39"/>
        <v>0</v>
      </c>
      <c r="V225" s="546">
        <f t="shared" si="39"/>
        <v>0</v>
      </c>
    </row>
    <row r="226" spans="1:22" s="546" customFormat="1" ht="21" customHeight="1">
      <c r="A226" s="887"/>
      <c r="B226" s="887"/>
      <c r="C226" s="896"/>
      <c r="D226" s="894"/>
      <c r="E226" s="894"/>
      <c r="F226" s="894"/>
      <c r="G226" s="887"/>
      <c r="H226" s="1258" t="s">
        <v>467</v>
      </c>
      <c r="I226" s="598">
        <v>150000</v>
      </c>
      <c r="J226" s="599">
        <v>20</v>
      </c>
      <c r="K226" s="600" t="s">
        <v>453</v>
      </c>
      <c r="L226" s="600"/>
      <c r="M226" s="769" t="s">
        <v>33</v>
      </c>
      <c r="N226" s="790">
        <f t="shared" ref="N226:N232" si="40">I226*J226</f>
        <v>3000000</v>
      </c>
      <c r="P226" s="545">
        <f t="shared" ref="P226:P232" si="41">IF($M226="보조금",$N226,0)</f>
        <v>3000000</v>
      </c>
      <c r="Q226" s="545">
        <f t="shared" ref="Q226:Q232" si="42">IF($M226="법인전입금",$N226,0)</f>
        <v>0</v>
      </c>
      <c r="R226" s="545">
        <f t="shared" ref="R226:R232" si="43">IF($M226="구법인",$N226,0)</f>
        <v>0</v>
      </c>
      <c r="S226" s="545">
        <f t="shared" ref="S226:S232" si="44">IF($M226="지정후원금",$N226,0)</f>
        <v>0</v>
      </c>
      <c r="T226" s="545">
        <f t="shared" ref="T226:T232" si="45">IF($M226="비지정후원금",$N226,0)</f>
        <v>0</v>
      </c>
      <c r="U226" s="545">
        <f t="shared" ref="U226:U232" si="46">IF(OR($M226="수익사업"),$N226,0)</f>
        <v>0</v>
      </c>
      <c r="V226" s="545">
        <f t="shared" ref="V226:V253" si="47">IF(OR($M226="잡지출"),$N226,0)</f>
        <v>0</v>
      </c>
    </row>
    <row r="227" spans="1:22" s="546" customFormat="1" ht="21" customHeight="1">
      <c r="A227" s="887"/>
      <c r="B227" s="887"/>
      <c r="C227" s="896"/>
      <c r="D227" s="894"/>
      <c r="E227" s="894"/>
      <c r="F227" s="894"/>
      <c r="G227" s="887"/>
      <c r="H227" s="1258"/>
      <c r="I227" s="598">
        <v>150000</v>
      </c>
      <c r="J227" s="705">
        <v>10</v>
      </c>
      <c r="K227" s="600" t="s">
        <v>453</v>
      </c>
      <c r="L227" s="600"/>
      <c r="M227" s="769" t="s">
        <v>457</v>
      </c>
      <c r="N227" s="788">
        <f t="shared" si="40"/>
        <v>1500000</v>
      </c>
      <c r="P227" s="545">
        <f t="shared" si="41"/>
        <v>0</v>
      </c>
      <c r="Q227" s="545">
        <f t="shared" si="42"/>
        <v>0</v>
      </c>
      <c r="R227" s="545">
        <f t="shared" si="43"/>
        <v>1500000</v>
      </c>
      <c r="S227" s="545">
        <f t="shared" si="44"/>
        <v>0</v>
      </c>
      <c r="T227" s="545">
        <f t="shared" si="45"/>
        <v>0</v>
      </c>
      <c r="U227" s="545">
        <f t="shared" si="46"/>
        <v>0</v>
      </c>
      <c r="V227" s="545">
        <f t="shared" si="47"/>
        <v>0</v>
      </c>
    </row>
    <row r="228" spans="1:22" s="546" customFormat="1" ht="21" customHeight="1">
      <c r="A228" s="887"/>
      <c r="B228" s="887"/>
      <c r="C228" s="896"/>
      <c r="D228" s="894"/>
      <c r="E228" s="894"/>
      <c r="F228" s="894"/>
      <c r="G228" s="887"/>
      <c r="H228" s="1258"/>
      <c r="I228" s="598">
        <v>150000</v>
      </c>
      <c r="J228" s="705">
        <v>4</v>
      </c>
      <c r="K228" s="600" t="s">
        <v>453</v>
      </c>
      <c r="L228" s="600"/>
      <c r="M228" s="769" t="s">
        <v>126</v>
      </c>
      <c r="N228" s="788">
        <f t="shared" si="40"/>
        <v>600000</v>
      </c>
      <c r="P228" s="545">
        <f t="shared" si="41"/>
        <v>0</v>
      </c>
      <c r="Q228" s="545">
        <f t="shared" si="42"/>
        <v>600000</v>
      </c>
      <c r="R228" s="545">
        <f t="shared" si="43"/>
        <v>0</v>
      </c>
      <c r="S228" s="545">
        <f t="shared" si="44"/>
        <v>0</v>
      </c>
      <c r="T228" s="545">
        <f t="shared" si="45"/>
        <v>0</v>
      </c>
      <c r="U228" s="545"/>
      <c r="V228" s="545"/>
    </row>
    <row r="229" spans="1:22" s="546" customFormat="1" ht="21" customHeight="1">
      <c r="A229" s="887"/>
      <c r="B229" s="887"/>
      <c r="C229" s="896"/>
      <c r="D229" s="894"/>
      <c r="E229" s="894"/>
      <c r="F229" s="894"/>
      <c r="G229" s="887"/>
      <c r="H229" s="1255"/>
      <c r="I229" s="695">
        <v>350000</v>
      </c>
      <c r="J229" s="613">
        <v>10</v>
      </c>
      <c r="K229" s="697" t="s">
        <v>453</v>
      </c>
      <c r="L229" s="697"/>
      <c r="M229" s="789" t="s">
        <v>209</v>
      </c>
      <c r="N229" s="679">
        <f t="shared" si="40"/>
        <v>3500000</v>
      </c>
      <c r="P229" s="545">
        <f t="shared" si="41"/>
        <v>0</v>
      </c>
      <c r="Q229" s="545">
        <f t="shared" si="42"/>
        <v>0</v>
      </c>
      <c r="R229" s="545">
        <f t="shared" si="43"/>
        <v>0</v>
      </c>
      <c r="S229" s="545">
        <f t="shared" si="44"/>
        <v>0</v>
      </c>
      <c r="T229" s="545">
        <f t="shared" si="45"/>
        <v>3500000</v>
      </c>
      <c r="U229" s="545">
        <f t="shared" si="46"/>
        <v>0</v>
      </c>
      <c r="V229" s="545">
        <f t="shared" si="47"/>
        <v>0</v>
      </c>
    </row>
    <row r="230" spans="1:22" s="546" customFormat="1" ht="21" customHeight="1">
      <c r="A230" s="887"/>
      <c r="B230" s="887"/>
      <c r="C230" s="896"/>
      <c r="D230" s="894"/>
      <c r="E230" s="894"/>
      <c r="F230" s="894"/>
      <c r="G230" s="887"/>
      <c r="H230" s="699" t="s">
        <v>468</v>
      </c>
      <c r="I230" s="624">
        <v>50000</v>
      </c>
      <c r="J230" s="681">
        <v>10</v>
      </c>
      <c r="K230" s="626" t="s">
        <v>453</v>
      </c>
      <c r="L230" s="626"/>
      <c r="M230" s="766" t="s">
        <v>33</v>
      </c>
      <c r="N230" s="683">
        <f t="shared" si="40"/>
        <v>500000</v>
      </c>
      <c r="P230" s="545">
        <f t="shared" si="41"/>
        <v>500000</v>
      </c>
      <c r="Q230" s="545">
        <f t="shared" si="42"/>
        <v>0</v>
      </c>
      <c r="R230" s="545">
        <f t="shared" si="43"/>
        <v>0</v>
      </c>
      <c r="S230" s="545">
        <f t="shared" si="44"/>
        <v>0</v>
      </c>
      <c r="T230" s="545">
        <f t="shared" si="45"/>
        <v>0</v>
      </c>
      <c r="U230" s="545">
        <f t="shared" si="46"/>
        <v>0</v>
      </c>
      <c r="V230" s="545">
        <f t="shared" si="47"/>
        <v>0</v>
      </c>
    </row>
    <row r="231" spans="1:22" s="546" customFormat="1" ht="21" customHeight="1">
      <c r="A231" s="887"/>
      <c r="B231" s="887"/>
      <c r="C231" s="896"/>
      <c r="D231" s="894"/>
      <c r="E231" s="894"/>
      <c r="F231" s="894"/>
      <c r="G231" s="887"/>
      <c r="H231" s="629" t="s">
        <v>691</v>
      </c>
      <c r="I231" s="618">
        <v>200000</v>
      </c>
      <c r="J231" s="619">
        <v>1</v>
      </c>
      <c r="K231" s="620" t="s">
        <v>453</v>
      </c>
      <c r="L231" s="620"/>
      <c r="M231" s="768" t="s">
        <v>33</v>
      </c>
      <c r="N231" s="686">
        <f t="shared" si="40"/>
        <v>200000</v>
      </c>
      <c r="P231" s="545">
        <f t="shared" si="41"/>
        <v>200000</v>
      </c>
      <c r="Q231" s="545">
        <f t="shared" si="42"/>
        <v>0</v>
      </c>
      <c r="R231" s="545">
        <f t="shared" si="43"/>
        <v>0</v>
      </c>
      <c r="S231" s="545">
        <f t="shared" si="44"/>
        <v>0</v>
      </c>
      <c r="T231" s="545">
        <f t="shared" si="45"/>
        <v>0</v>
      </c>
      <c r="U231" s="545">
        <f t="shared" si="46"/>
        <v>0</v>
      </c>
      <c r="V231" s="545">
        <f t="shared" si="47"/>
        <v>0</v>
      </c>
    </row>
    <row r="232" spans="1:22" s="546" customFormat="1" ht="21" customHeight="1" thickBot="1">
      <c r="A232" s="887"/>
      <c r="B232" s="887"/>
      <c r="C232" s="887"/>
      <c r="D232" s="894"/>
      <c r="E232" s="894"/>
      <c r="F232" s="894"/>
      <c r="G232" s="887"/>
      <c r="H232" s="680" t="s">
        <v>593</v>
      </c>
      <c r="I232" s="602">
        <v>200000</v>
      </c>
      <c r="J232" s="603">
        <v>1</v>
      </c>
      <c r="K232" s="626" t="s">
        <v>453</v>
      </c>
      <c r="L232" s="604"/>
      <c r="M232" s="791" t="s">
        <v>457</v>
      </c>
      <c r="N232" s="675">
        <f t="shared" si="40"/>
        <v>200000</v>
      </c>
      <c r="P232" s="545">
        <f t="shared" si="41"/>
        <v>0</v>
      </c>
      <c r="Q232" s="545">
        <f t="shared" si="42"/>
        <v>0</v>
      </c>
      <c r="R232" s="545">
        <f t="shared" si="43"/>
        <v>200000</v>
      </c>
      <c r="S232" s="545">
        <f t="shared" si="44"/>
        <v>0</v>
      </c>
      <c r="T232" s="545">
        <f t="shared" si="45"/>
        <v>0</v>
      </c>
      <c r="U232" s="545">
        <f t="shared" si="46"/>
        <v>0</v>
      </c>
      <c r="V232" s="545">
        <f t="shared" si="47"/>
        <v>0</v>
      </c>
    </row>
    <row r="233" spans="1:22" s="546" customFormat="1" ht="21" customHeight="1" thickBot="1">
      <c r="A233" s="887"/>
      <c r="B233" s="887"/>
      <c r="C233" s="577" t="s">
        <v>195</v>
      </c>
      <c r="D233" s="885">
        <v>541210</v>
      </c>
      <c r="E233" s="577">
        <f>N233</f>
        <v>600000</v>
      </c>
      <c r="F233" s="885">
        <f t="shared" ref="F233" si="48">SUM(F234:F236)</f>
        <v>575998</v>
      </c>
      <c r="G233" s="577">
        <f>E233-D233</f>
        <v>58790</v>
      </c>
      <c r="H233" s="792" t="s">
        <v>195</v>
      </c>
      <c r="I233" s="793"/>
      <c r="J233" s="794"/>
      <c r="K233" s="795"/>
      <c r="L233" s="795"/>
      <c r="M233" s="796"/>
      <c r="N233" s="797">
        <f>SUM(N234:N236)</f>
        <v>600000</v>
      </c>
      <c r="P233" s="545">
        <f>SUM(P234:P236)</f>
        <v>0</v>
      </c>
      <c r="Q233" s="545">
        <f t="shared" ref="Q233:U233" si="49">SUM(Q234:Q236)</f>
        <v>0</v>
      </c>
      <c r="R233" s="545">
        <f t="shared" si="49"/>
        <v>600000</v>
      </c>
      <c r="S233" s="545">
        <f t="shared" si="49"/>
        <v>0</v>
      </c>
      <c r="T233" s="545">
        <f t="shared" si="49"/>
        <v>0</v>
      </c>
      <c r="U233" s="545">
        <f t="shared" si="49"/>
        <v>0</v>
      </c>
      <c r="V233" s="546">
        <f t="shared" si="47"/>
        <v>0</v>
      </c>
    </row>
    <row r="234" spans="1:22" s="546" customFormat="1" ht="21" customHeight="1">
      <c r="A234" s="887"/>
      <c r="B234" s="887"/>
      <c r="C234" s="887"/>
      <c r="D234" s="897"/>
      <c r="E234" s="897"/>
      <c r="F234" s="897">
        <v>575998</v>
      </c>
      <c r="G234" s="887">
        <f t="shared" ref="G234" si="50">E234-D234</f>
        <v>0</v>
      </c>
      <c r="H234" s="798" t="s">
        <v>477</v>
      </c>
      <c r="I234" s="799">
        <f>SUM(I235:I236)</f>
        <v>600000</v>
      </c>
      <c r="J234" s="599"/>
      <c r="K234" s="600"/>
      <c r="L234" s="600"/>
      <c r="M234" s="800"/>
      <c r="N234" s="790">
        <f t="shared" ref="N234:N238" si="51">I234*J234</f>
        <v>0</v>
      </c>
      <c r="O234" s="547" t="s">
        <v>521</v>
      </c>
      <c r="P234" s="545">
        <f t="shared" ref="P234:P239" si="52">IF($M234="보조금",$N234,0)</f>
        <v>0</v>
      </c>
      <c r="Q234" s="545">
        <f t="shared" ref="Q234:Q239" si="53">IF($M234="법인전입금",$N234,0)</f>
        <v>0</v>
      </c>
      <c r="R234" s="545">
        <f t="shared" ref="R234:R239" si="54">IF($M234="구법인",$N234,0)</f>
        <v>0</v>
      </c>
      <c r="S234" s="545">
        <f t="shared" si="23"/>
        <v>0</v>
      </c>
      <c r="T234" s="545">
        <f t="shared" si="27"/>
        <v>0</v>
      </c>
      <c r="U234" s="545">
        <f t="shared" si="28"/>
        <v>0</v>
      </c>
      <c r="V234" s="546">
        <f t="shared" si="47"/>
        <v>0</v>
      </c>
    </row>
    <row r="235" spans="1:22" s="546" customFormat="1" ht="21" customHeight="1">
      <c r="A235" s="887"/>
      <c r="B235" s="887"/>
      <c r="C235" s="887"/>
      <c r="D235" s="897">
        <v>541210</v>
      </c>
      <c r="E235" s="897">
        <f>N235</f>
        <v>600000</v>
      </c>
      <c r="F235" s="897"/>
      <c r="G235" s="703">
        <f>E235-D235</f>
        <v>58790</v>
      </c>
      <c r="H235" s="597" t="s">
        <v>195</v>
      </c>
      <c r="I235" s="598">
        <v>600000</v>
      </c>
      <c r="J235" s="599">
        <v>1</v>
      </c>
      <c r="K235" s="600" t="s">
        <v>464</v>
      </c>
      <c r="L235" s="600"/>
      <c r="M235" s="800" t="s">
        <v>457</v>
      </c>
      <c r="N235" s="788">
        <f t="shared" si="51"/>
        <v>600000</v>
      </c>
      <c r="P235" s="545">
        <f t="shared" si="52"/>
        <v>0</v>
      </c>
      <c r="Q235" s="545">
        <f t="shared" si="53"/>
        <v>0</v>
      </c>
      <c r="R235" s="545">
        <f t="shared" si="54"/>
        <v>600000</v>
      </c>
      <c r="S235" s="545">
        <f t="shared" si="23"/>
        <v>0</v>
      </c>
      <c r="T235" s="545">
        <f t="shared" si="27"/>
        <v>0</v>
      </c>
      <c r="U235" s="545">
        <f t="shared" si="28"/>
        <v>0</v>
      </c>
      <c r="V235" s="545">
        <f t="shared" si="47"/>
        <v>0</v>
      </c>
    </row>
    <row r="236" spans="1:22" s="546" customFormat="1" ht="21" customHeight="1" thickBot="1">
      <c r="A236" s="887"/>
      <c r="B236" s="887"/>
      <c r="C236" s="887"/>
      <c r="D236" s="894"/>
      <c r="E236" s="897"/>
      <c r="F236" s="894"/>
      <c r="G236" s="703"/>
      <c r="H236" s="680" t="s">
        <v>195</v>
      </c>
      <c r="I236" s="624">
        <v>0</v>
      </c>
      <c r="J236" s="681">
        <v>1</v>
      </c>
      <c r="K236" s="626" t="s">
        <v>464</v>
      </c>
      <c r="L236" s="626"/>
      <c r="M236" s="801" t="s">
        <v>126</v>
      </c>
      <c r="N236" s="675">
        <f t="shared" si="51"/>
        <v>0</v>
      </c>
      <c r="P236" s="545">
        <f t="shared" si="52"/>
        <v>0</v>
      </c>
      <c r="Q236" s="545">
        <f t="shared" si="53"/>
        <v>0</v>
      </c>
      <c r="R236" s="545">
        <f t="shared" si="54"/>
        <v>0</v>
      </c>
      <c r="S236" s="545">
        <f t="shared" si="23"/>
        <v>0</v>
      </c>
      <c r="T236" s="545">
        <f t="shared" si="27"/>
        <v>0</v>
      </c>
      <c r="U236" s="545">
        <f t="shared" si="28"/>
        <v>0</v>
      </c>
      <c r="V236" s="545">
        <f t="shared" si="47"/>
        <v>0</v>
      </c>
    </row>
    <row r="237" spans="1:22" s="546" customFormat="1" ht="21" customHeight="1" thickBot="1">
      <c r="A237" s="887"/>
      <c r="B237" s="887"/>
      <c r="C237" s="577" t="s">
        <v>476</v>
      </c>
      <c r="D237" s="885">
        <f>SUM(D238:D239)</f>
        <v>2900000</v>
      </c>
      <c r="E237" s="577">
        <f>N237</f>
        <v>2900000</v>
      </c>
      <c r="F237" s="885">
        <f>SUM(F238:F239)</f>
        <v>2900000</v>
      </c>
      <c r="G237" s="577">
        <f>E237-D237</f>
        <v>0</v>
      </c>
      <c r="H237" s="792" t="s">
        <v>476</v>
      </c>
      <c r="I237" s="793"/>
      <c r="J237" s="794"/>
      <c r="K237" s="795"/>
      <c r="L237" s="795"/>
      <c r="M237" s="796"/>
      <c r="N237" s="797">
        <f>SUM(N238:N239)</f>
        <v>2900000</v>
      </c>
      <c r="P237" s="545">
        <f>SUM(P238:P239)</f>
        <v>0</v>
      </c>
      <c r="Q237" s="545">
        <f t="shared" ref="Q237:U237" si="55">SUM(Q238:Q239)</f>
        <v>0</v>
      </c>
      <c r="R237" s="545">
        <f t="shared" si="55"/>
        <v>2900000</v>
      </c>
      <c r="S237" s="545">
        <f t="shared" si="55"/>
        <v>0</v>
      </c>
      <c r="T237" s="545">
        <f t="shared" si="55"/>
        <v>0</v>
      </c>
      <c r="U237" s="545">
        <f t="shared" si="55"/>
        <v>0</v>
      </c>
      <c r="V237" s="546">
        <f t="shared" si="47"/>
        <v>0</v>
      </c>
    </row>
    <row r="238" spans="1:22" s="546" customFormat="1" ht="21" customHeight="1">
      <c r="A238" s="887"/>
      <c r="B238" s="887"/>
      <c r="C238" s="887"/>
      <c r="D238" s="897">
        <v>2900000</v>
      </c>
      <c r="E238" s="897">
        <f>N238</f>
        <v>2900000</v>
      </c>
      <c r="F238" s="897">
        <f>I238</f>
        <v>2900000</v>
      </c>
      <c r="G238" s="703">
        <f>E238-D238</f>
        <v>0</v>
      </c>
      <c r="H238" s="597" t="s">
        <v>476</v>
      </c>
      <c r="I238" s="598">
        <v>2900000</v>
      </c>
      <c r="J238" s="599">
        <v>1</v>
      </c>
      <c r="K238" s="600" t="s">
        <v>464</v>
      </c>
      <c r="L238" s="600"/>
      <c r="M238" s="800" t="s">
        <v>457</v>
      </c>
      <c r="N238" s="790">
        <f t="shared" si="51"/>
        <v>2900000</v>
      </c>
      <c r="P238" s="545">
        <f t="shared" si="52"/>
        <v>0</v>
      </c>
      <c r="Q238" s="545">
        <f t="shared" si="53"/>
        <v>0</v>
      </c>
      <c r="R238" s="545">
        <f t="shared" si="54"/>
        <v>2900000</v>
      </c>
      <c r="S238" s="545">
        <f t="shared" si="23"/>
        <v>0</v>
      </c>
      <c r="T238" s="545">
        <f t="shared" si="27"/>
        <v>0</v>
      </c>
      <c r="U238" s="545">
        <f t="shared" si="28"/>
        <v>0</v>
      </c>
      <c r="V238" s="546">
        <f t="shared" si="47"/>
        <v>0</v>
      </c>
    </row>
    <row r="239" spans="1:22" s="546" customFormat="1" ht="21" customHeight="1" thickBot="1">
      <c r="A239" s="887"/>
      <c r="B239" s="887"/>
      <c r="C239" s="887"/>
      <c r="D239" s="894"/>
      <c r="E239" s="894"/>
      <c r="F239" s="894"/>
      <c r="G239" s="887"/>
      <c r="H239" s="771"/>
      <c r="I239" s="704"/>
      <c r="J239" s="705"/>
      <c r="K239" s="706"/>
      <c r="L239" s="706"/>
      <c r="M239" s="803"/>
      <c r="N239" s="675"/>
      <c r="P239" s="545">
        <f t="shared" si="52"/>
        <v>0</v>
      </c>
      <c r="Q239" s="545">
        <f t="shared" si="53"/>
        <v>0</v>
      </c>
      <c r="R239" s="545">
        <f t="shared" si="54"/>
        <v>0</v>
      </c>
      <c r="S239" s="545">
        <f t="shared" si="23"/>
        <v>0</v>
      </c>
      <c r="T239" s="545">
        <f t="shared" si="27"/>
        <v>0</v>
      </c>
      <c r="U239" s="545">
        <f t="shared" si="28"/>
        <v>0</v>
      </c>
      <c r="V239" s="546">
        <f t="shared" si="47"/>
        <v>0</v>
      </c>
    </row>
    <row r="240" spans="1:22" s="546" customFormat="1" ht="21" customHeight="1" thickBot="1">
      <c r="A240" s="887"/>
      <c r="B240" s="577" t="s">
        <v>185</v>
      </c>
      <c r="C240" s="577"/>
      <c r="D240" s="797">
        <f>D241+D244</f>
        <v>4850000</v>
      </c>
      <c r="E240" s="885">
        <f>SUM(E241+E244)</f>
        <v>4800000</v>
      </c>
      <c r="F240" s="885">
        <f>SUM(F241+F244)</f>
        <v>4800000</v>
      </c>
      <c r="G240" s="583">
        <f>E240-D240</f>
        <v>-50000</v>
      </c>
      <c r="H240" s="792"/>
      <c r="I240" s="793"/>
      <c r="J240" s="794"/>
      <c r="K240" s="795"/>
      <c r="L240" s="795"/>
      <c r="M240" s="796"/>
      <c r="N240" s="797">
        <f>N241+N244</f>
        <v>4800000</v>
      </c>
      <c r="P240" s="545">
        <f>P241+P244</f>
        <v>0</v>
      </c>
      <c r="Q240" s="545">
        <f t="shared" ref="Q240:U240" si="56">Q241+Q244</f>
        <v>300000</v>
      </c>
      <c r="R240" s="545">
        <f t="shared" si="56"/>
        <v>4500000</v>
      </c>
      <c r="S240" s="545">
        <f t="shared" si="56"/>
        <v>0</v>
      </c>
      <c r="T240" s="545">
        <f t="shared" si="56"/>
        <v>0</v>
      </c>
      <c r="U240" s="545">
        <f t="shared" si="56"/>
        <v>0</v>
      </c>
      <c r="V240" s="546">
        <f t="shared" si="47"/>
        <v>0</v>
      </c>
    </row>
    <row r="241" spans="1:22" s="546" customFormat="1" ht="21" customHeight="1" thickBot="1">
      <c r="A241" s="887"/>
      <c r="B241" s="887"/>
      <c r="C241" s="577" t="s">
        <v>186</v>
      </c>
      <c r="D241" s="885">
        <v>3600000</v>
      </c>
      <c r="E241" s="577">
        <f>N241</f>
        <v>3600000</v>
      </c>
      <c r="F241" s="885">
        <f>SUM(F242:F243)</f>
        <v>3600000</v>
      </c>
      <c r="G241" s="577">
        <f>E241-D241</f>
        <v>0</v>
      </c>
      <c r="H241" s="792" t="s">
        <v>186</v>
      </c>
      <c r="I241" s="793"/>
      <c r="J241" s="794"/>
      <c r="K241" s="795"/>
      <c r="L241" s="795"/>
      <c r="M241" s="796"/>
      <c r="N241" s="797">
        <f>SUM(N242:N243)</f>
        <v>3600000</v>
      </c>
      <c r="P241" s="545">
        <f>SUM(P242:P243)</f>
        <v>0</v>
      </c>
      <c r="Q241" s="545">
        <f t="shared" ref="Q241:U241" si="57">SUM(Q242:Q243)</f>
        <v>0</v>
      </c>
      <c r="R241" s="545">
        <f t="shared" si="57"/>
        <v>3600000</v>
      </c>
      <c r="S241" s="545">
        <f t="shared" si="57"/>
        <v>0</v>
      </c>
      <c r="T241" s="545">
        <f t="shared" si="57"/>
        <v>0</v>
      </c>
      <c r="U241" s="545">
        <f t="shared" si="57"/>
        <v>0</v>
      </c>
      <c r="V241" s="546">
        <f t="shared" si="47"/>
        <v>0</v>
      </c>
    </row>
    <row r="242" spans="1:22" s="546" customFormat="1" ht="21" customHeight="1">
      <c r="A242" s="887"/>
      <c r="B242" s="887"/>
      <c r="C242" s="898" t="s">
        <v>186</v>
      </c>
      <c r="D242" s="899">
        <v>3600000</v>
      </c>
      <c r="E242" s="897">
        <f>N242</f>
        <v>3600000</v>
      </c>
      <c r="F242" s="897">
        <f>N242</f>
        <v>3600000</v>
      </c>
      <c r="G242" s="703">
        <f>E242-D242</f>
        <v>0</v>
      </c>
      <c r="H242" s="669" t="s">
        <v>186</v>
      </c>
      <c r="I242" s="764">
        <v>300000</v>
      </c>
      <c r="J242" s="671">
        <v>12</v>
      </c>
      <c r="K242" s="670" t="s">
        <v>451</v>
      </c>
      <c r="L242" s="670"/>
      <c r="M242" s="804" t="s">
        <v>457</v>
      </c>
      <c r="N242" s="790">
        <f t="shared" ref="N242" si="58">I242*J242</f>
        <v>3600000</v>
      </c>
      <c r="P242" s="545">
        <f t="shared" ref="P242:P243" si="59">IF($M242="보조금",$N242,0)</f>
        <v>0</v>
      </c>
      <c r="Q242" s="545">
        <f t="shared" ref="Q242:Q243" si="60">IF($M242="법인전입금",$N242,0)</f>
        <v>0</v>
      </c>
      <c r="R242" s="545">
        <f t="shared" ref="R242:R243" si="61">IF($M242="구법인",$N242,0)</f>
        <v>3600000</v>
      </c>
      <c r="S242" s="545">
        <f t="shared" ref="S242:S243" si="62">IF($M242="지정후원금",$N242,0)</f>
        <v>0</v>
      </c>
      <c r="T242" s="545">
        <f t="shared" ref="T242:T243" si="63">IF($M242="비지정후원금",$N242,0)</f>
        <v>0</v>
      </c>
      <c r="U242" s="545">
        <f t="shared" ref="U242:U243" si="64">IF(OR($M242="수익사업"),$N242,0)</f>
        <v>0</v>
      </c>
      <c r="V242" s="546">
        <f t="shared" si="47"/>
        <v>0</v>
      </c>
    </row>
    <row r="243" spans="1:22" s="546" customFormat="1" ht="21" customHeight="1" thickBot="1">
      <c r="A243" s="887"/>
      <c r="B243" s="887"/>
      <c r="C243" s="893"/>
      <c r="D243" s="884"/>
      <c r="E243" s="884"/>
      <c r="F243" s="884"/>
      <c r="G243" s="897"/>
      <c r="H243" s="805"/>
      <c r="I243" s="631"/>
      <c r="J243" s="632"/>
      <c r="K243" s="633"/>
      <c r="L243" s="633"/>
      <c r="M243" s="806"/>
      <c r="N243" s="807"/>
      <c r="P243" s="545">
        <f t="shared" si="59"/>
        <v>0</v>
      </c>
      <c r="Q243" s="545">
        <f t="shared" si="60"/>
        <v>0</v>
      </c>
      <c r="R243" s="545">
        <f t="shared" si="61"/>
        <v>0</v>
      </c>
      <c r="S243" s="545">
        <f t="shared" si="62"/>
        <v>0</v>
      </c>
      <c r="T243" s="545">
        <f t="shared" si="63"/>
        <v>0</v>
      </c>
      <c r="U243" s="545">
        <f t="shared" si="64"/>
        <v>0</v>
      </c>
      <c r="V243" s="546">
        <f t="shared" si="47"/>
        <v>0</v>
      </c>
    </row>
    <row r="244" spans="1:22" s="546" customFormat="1" ht="21" customHeight="1" thickBot="1">
      <c r="A244" s="887"/>
      <c r="B244" s="887"/>
      <c r="C244" s="577" t="s">
        <v>187</v>
      </c>
      <c r="D244" s="885">
        <v>1250000</v>
      </c>
      <c r="E244" s="577">
        <f>N244</f>
        <v>1200000</v>
      </c>
      <c r="F244" s="885">
        <f t="shared" ref="F244" si="65">SUM(F245:F247)</f>
        <v>1200000</v>
      </c>
      <c r="G244" s="577">
        <f>E244-D244</f>
        <v>-50000</v>
      </c>
      <c r="H244" s="802"/>
      <c r="I244" s="793"/>
      <c r="J244" s="794"/>
      <c r="K244" s="795"/>
      <c r="L244" s="795"/>
      <c r="M244" s="796"/>
      <c r="N244" s="797">
        <f>SUM(N245:N247)</f>
        <v>1200000</v>
      </c>
      <c r="P244" s="545">
        <f>SUM(P245:P248)</f>
        <v>0</v>
      </c>
      <c r="Q244" s="545">
        <f t="shared" ref="Q244:U244" si="66">SUM(Q245:Q248)</f>
        <v>300000</v>
      </c>
      <c r="R244" s="545">
        <f t="shared" si="66"/>
        <v>900000</v>
      </c>
      <c r="S244" s="545">
        <f t="shared" si="66"/>
        <v>0</v>
      </c>
      <c r="T244" s="545">
        <f t="shared" si="66"/>
        <v>0</v>
      </c>
      <c r="U244" s="545">
        <f t="shared" si="66"/>
        <v>0</v>
      </c>
      <c r="V244" s="546">
        <f t="shared" si="47"/>
        <v>0</v>
      </c>
    </row>
    <row r="245" spans="1:22" s="546" customFormat="1" ht="21" customHeight="1">
      <c r="A245" s="887"/>
      <c r="B245" s="887"/>
      <c r="C245" s="703" t="s">
        <v>187</v>
      </c>
      <c r="D245" s="897"/>
      <c r="E245" s="897"/>
      <c r="F245" s="897">
        <f>I245</f>
        <v>1200000</v>
      </c>
      <c r="G245" s="703">
        <f t="shared" ref="G245:G248" si="67">E245-D245</f>
        <v>0</v>
      </c>
      <c r="H245" s="798" t="s">
        <v>478</v>
      </c>
      <c r="I245" s="799">
        <f>SUM(I246:I247)</f>
        <v>1200000</v>
      </c>
      <c r="J245" s="599"/>
      <c r="K245" s="600"/>
      <c r="L245" s="600"/>
      <c r="M245" s="800"/>
      <c r="N245" s="790"/>
      <c r="P245" s="545">
        <f t="shared" ref="P245:P248" si="68">IF($M245="보조금",$N245,0)</f>
        <v>0</v>
      </c>
      <c r="Q245" s="545">
        <f t="shared" ref="Q245:Q248" si="69">IF($M245="법인전입금",$N245,0)</f>
        <v>0</v>
      </c>
      <c r="R245" s="545">
        <f t="shared" ref="R245:R248" si="70">IF($M245="구법인",$N245,0)</f>
        <v>0</v>
      </c>
      <c r="S245" s="545">
        <f t="shared" ref="S245:S248" si="71">IF($M245="지정후원금",$N245,0)</f>
        <v>0</v>
      </c>
      <c r="T245" s="545">
        <f t="shared" ref="T245:T248" si="72">IF($M245="비지정후원금",$N245,0)</f>
        <v>0</v>
      </c>
      <c r="U245" s="545">
        <f t="shared" ref="U245:U248" si="73">IF(OR($M245="수익사업"),$N245,0)</f>
        <v>0</v>
      </c>
      <c r="V245" s="546">
        <f t="shared" si="47"/>
        <v>0</v>
      </c>
    </row>
    <row r="246" spans="1:22" s="546" customFormat="1" ht="21" customHeight="1">
      <c r="A246" s="887"/>
      <c r="B246" s="887"/>
      <c r="C246" s="703"/>
      <c r="D246" s="897">
        <v>600000</v>
      </c>
      <c r="E246" s="897">
        <f>N246</f>
        <v>900000</v>
      </c>
      <c r="F246" s="894"/>
      <c r="G246" s="703">
        <f>E246-D246</f>
        <v>300000</v>
      </c>
      <c r="H246" s="771" t="s">
        <v>541</v>
      </c>
      <c r="I246" s="704">
        <v>900000</v>
      </c>
      <c r="J246" s="705">
        <v>1</v>
      </c>
      <c r="K246" s="706" t="s">
        <v>464</v>
      </c>
      <c r="L246" s="706"/>
      <c r="M246" s="803" t="s">
        <v>457</v>
      </c>
      <c r="N246" s="788">
        <f t="shared" ref="N246:N247" si="74">I246*J246</f>
        <v>900000</v>
      </c>
      <c r="P246" s="545">
        <f t="shared" si="68"/>
        <v>0</v>
      </c>
      <c r="Q246" s="545">
        <f t="shared" si="69"/>
        <v>0</v>
      </c>
      <c r="R246" s="545">
        <f t="shared" si="70"/>
        <v>900000</v>
      </c>
      <c r="S246" s="545">
        <f t="shared" si="71"/>
        <v>0</v>
      </c>
      <c r="T246" s="545">
        <f t="shared" si="72"/>
        <v>0</v>
      </c>
      <c r="U246" s="545">
        <f t="shared" si="73"/>
        <v>0</v>
      </c>
      <c r="V246" s="546">
        <f t="shared" si="47"/>
        <v>0</v>
      </c>
    </row>
    <row r="247" spans="1:22" s="546" customFormat="1" ht="21" customHeight="1">
      <c r="A247" s="887"/>
      <c r="B247" s="887"/>
      <c r="C247" s="703"/>
      <c r="D247" s="897">
        <v>300000</v>
      </c>
      <c r="E247" s="897">
        <f>N247</f>
        <v>300000</v>
      </c>
      <c r="F247" s="894"/>
      <c r="G247" s="703">
        <f t="shared" si="67"/>
        <v>0</v>
      </c>
      <c r="H247" s="771" t="s">
        <v>541</v>
      </c>
      <c r="I247" s="704">
        <v>300000</v>
      </c>
      <c r="J247" s="705">
        <v>1</v>
      </c>
      <c r="K247" s="706" t="s">
        <v>464</v>
      </c>
      <c r="L247" s="706"/>
      <c r="M247" s="803" t="s">
        <v>126</v>
      </c>
      <c r="N247" s="788">
        <f t="shared" si="74"/>
        <v>300000</v>
      </c>
      <c r="P247" s="545">
        <f t="shared" si="68"/>
        <v>0</v>
      </c>
      <c r="Q247" s="545">
        <f t="shared" si="69"/>
        <v>300000</v>
      </c>
      <c r="R247" s="545">
        <f t="shared" si="70"/>
        <v>0</v>
      </c>
      <c r="S247" s="545">
        <f t="shared" si="71"/>
        <v>0</v>
      </c>
      <c r="T247" s="545">
        <f t="shared" si="72"/>
        <v>0</v>
      </c>
      <c r="U247" s="545">
        <f t="shared" si="73"/>
        <v>0</v>
      </c>
      <c r="V247" s="546">
        <f t="shared" si="47"/>
        <v>0</v>
      </c>
    </row>
    <row r="248" spans="1:22" s="546" customFormat="1" ht="21" customHeight="1" thickBot="1">
      <c r="A248" s="887"/>
      <c r="B248" s="887"/>
      <c r="C248" s="703"/>
      <c r="D248" s="897">
        <v>350000</v>
      </c>
      <c r="E248" s="894">
        <v>0</v>
      </c>
      <c r="F248" s="894"/>
      <c r="G248" s="703">
        <f t="shared" si="67"/>
        <v>-350000</v>
      </c>
      <c r="H248" s="663" t="s">
        <v>625</v>
      </c>
      <c r="I248" s="785">
        <v>0</v>
      </c>
      <c r="J248" s="665">
        <v>1</v>
      </c>
      <c r="K248" s="666" t="s">
        <v>464</v>
      </c>
      <c r="L248" s="666"/>
      <c r="M248" s="808" t="s">
        <v>126</v>
      </c>
      <c r="N248" s="675">
        <v>0</v>
      </c>
      <c r="P248" s="545">
        <f t="shared" si="68"/>
        <v>0</v>
      </c>
      <c r="Q248" s="545">
        <f t="shared" si="69"/>
        <v>0</v>
      </c>
      <c r="R248" s="545">
        <f t="shared" si="70"/>
        <v>0</v>
      </c>
      <c r="S248" s="545">
        <f t="shared" si="71"/>
        <v>0</v>
      </c>
      <c r="T248" s="545">
        <f t="shared" si="72"/>
        <v>0</v>
      </c>
      <c r="U248" s="545">
        <f t="shared" si="73"/>
        <v>0</v>
      </c>
      <c r="V248" s="546">
        <f t="shared" si="47"/>
        <v>0</v>
      </c>
    </row>
    <row r="249" spans="1:22" s="546" customFormat="1" ht="21" customHeight="1" thickBot="1">
      <c r="A249" s="577" t="s">
        <v>196</v>
      </c>
      <c r="B249" s="577"/>
      <c r="C249" s="577"/>
      <c r="D249" s="577">
        <f>D250</f>
        <v>84437000</v>
      </c>
      <c r="E249" s="885">
        <f>E250</f>
        <v>43990000</v>
      </c>
      <c r="F249" s="591">
        <f t="shared" ref="F249:F250" si="75">N249</f>
        <v>43990000</v>
      </c>
      <c r="G249" s="577">
        <f>E249-D249</f>
        <v>-40447000</v>
      </c>
      <c r="H249" s="809"/>
      <c r="I249" s="810"/>
      <c r="J249" s="811"/>
      <c r="K249" s="811"/>
      <c r="L249" s="778"/>
      <c r="M249" s="746"/>
      <c r="N249" s="577">
        <f>N250</f>
        <v>43990000</v>
      </c>
      <c r="P249" s="545">
        <f>P250</f>
        <v>43990000</v>
      </c>
      <c r="Q249" s="545">
        <f t="shared" ref="Q249:U249" si="76">Q250</f>
        <v>0</v>
      </c>
      <c r="R249" s="545">
        <f t="shared" si="76"/>
        <v>0</v>
      </c>
      <c r="S249" s="545">
        <f t="shared" si="76"/>
        <v>0</v>
      </c>
      <c r="T249" s="545">
        <f t="shared" si="76"/>
        <v>0</v>
      </c>
      <c r="U249" s="545">
        <f t="shared" si="76"/>
        <v>0</v>
      </c>
      <c r="V249" s="546">
        <f t="shared" si="47"/>
        <v>0</v>
      </c>
    </row>
    <row r="250" spans="1:22" s="546" customFormat="1" ht="21" customHeight="1" thickBot="1">
      <c r="A250" s="887"/>
      <c r="B250" s="577" t="s">
        <v>197</v>
      </c>
      <c r="C250" s="577"/>
      <c r="D250" s="797">
        <f>D251+D254+D256</f>
        <v>84437000</v>
      </c>
      <c r="E250" s="885">
        <f>E251+E256+E254</f>
        <v>43990000</v>
      </c>
      <c r="F250" s="591">
        <f t="shared" si="75"/>
        <v>43990000</v>
      </c>
      <c r="G250" s="577">
        <f>E250-D250</f>
        <v>-40447000</v>
      </c>
      <c r="H250" s="809"/>
      <c r="I250" s="810"/>
      <c r="J250" s="811"/>
      <c r="K250" s="811"/>
      <c r="L250" s="778"/>
      <c r="M250" s="746"/>
      <c r="N250" s="797">
        <f>N251+N256+N254</f>
        <v>43990000</v>
      </c>
      <c r="P250" s="546">
        <f>P256+P251+P254</f>
        <v>43990000</v>
      </c>
      <c r="Q250" s="546">
        <f>Q256+Q251</f>
        <v>0</v>
      </c>
      <c r="R250" s="546">
        <f>R256+R251</f>
        <v>0</v>
      </c>
      <c r="S250" s="546">
        <f>S256+S251</f>
        <v>0</v>
      </c>
      <c r="T250" s="546">
        <f>T256+T251</f>
        <v>0</v>
      </c>
      <c r="U250" s="546">
        <f>U256+U251</f>
        <v>0</v>
      </c>
      <c r="V250" s="546">
        <f t="shared" si="47"/>
        <v>0</v>
      </c>
    </row>
    <row r="251" spans="1:22" s="546" customFormat="1" ht="21" customHeight="1" thickBot="1">
      <c r="A251" s="887"/>
      <c r="B251" s="887"/>
      <c r="C251" s="577" t="s">
        <v>197</v>
      </c>
      <c r="D251" s="885">
        <f>SUM(D252:D253)</f>
        <v>24880000</v>
      </c>
      <c r="E251" s="885">
        <f>N251</f>
        <v>24690000</v>
      </c>
      <c r="F251" s="885">
        <f>SUM(F252:F253)</f>
        <v>187460000</v>
      </c>
      <c r="G251" s="577">
        <f>E251-D251</f>
        <v>-190000</v>
      </c>
      <c r="H251" s="809" t="s">
        <v>198</v>
      </c>
      <c r="I251" s="810"/>
      <c r="J251" s="811"/>
      <c r="K251" s="811"/>
      <c r="L251" s="778"/>
      <c r="M251" s="746"/>
      <c r="N251" s="797">
        <f>SUM(N252:N253)</f>
        <v>24690000</v>
      </c>
      <c r="P251" s="546">
        <f t="shared" ref="P251:U251" si="77">SUM(P252:P253)</f>
        <v>24690000</v>
      </c>
      <c r="Q251" s="546">
        <f t="shared" si="77"/>
        <v>0</v>
      </c>
      <c r="R251" s="546">
        <f t="shared" si="77"/>
        <v>0</v>
      </c>
      <c r="S251" s="546">
        <f t="shared" si="77"/>
        <v>0</v>
      </c>
      <c r="T251" s="546">
        <f t="shared" si="77"/>
        <v>0</v>
      </c>
      <c r="U251" s="546">
        <f t="shared" si="77"/>
        <v>0</v>
      </c>
      <c r="V251" s="546">
        <f t="shared" si="47"/>
        <v>0</v>
      </c>
    </row>
    <row r="252" spans="1:22" s="546" customFormat="1" ht="21" customHeight="1">
      <c r="A252" s="887"/>
      <c r="B252" s="887"/>
      <c r="C252" s="683"/>
      <c r="D252" s="897">
        <v>19500000</v>
      </c>
      <c r="E252" s="897">
        <f>N252</f>
        <v>19350000</v>
      </c>
      <c r="F252" s="898">
        <f>182120000</f>
        <v>182120000</v>
      </c>
      <c r="G252" s="703">
        <f t="shared" ref="G252" si="78">E252-D252</f>
        <v>-150000</v>
      </c>
      <c r="H252" s="646" t="s">
        <v>650</v>
      </c>
      <c r="I252" s="1006">
        <v>19350000</v>
      </c>
      <c r="J252" s="648">
        <v>1</v>
      </c>
      <c r="K252" s="649" t="s">
        <v>464</v>
      </c>
      <c r="L252" s="649"/>
      <c r="M252" s="1007" t="s">
        <v>33</v>
      </c>
      <c r="N252" s="1008">
        <f>I252*J252</f>
        <v>19350000</v>
      </c>
      <c r="P252" s="545">
        <f t="shared" ref="P252:P253" si="79">IF($M252="보조금",$N252,0)</f>
        <v>19350000</v>
      </c>
      <c r="Q252" s="545">
        <f t="shared" ref="Q252:Q253" si="80">IF($M252="법인전입금",$N252,0)</f>
        <v>0</v>
      </c>
      <c r="R252" s="545">
        <f t="shared" ref="R252:R253" si="81">IF($M252="구법인",$N252,0)</f>
        <v>0</v>
      </c>
      <c r="S252" s="545">
        <f t="shared" ref="S252:S253" si="82">IF($M252="지정후원금",$N252,0)</f>
        <v>0</v>
      </c>
      <c r="T252" s="545">
        <f t="shared" ref="T252:T253" si="83">IF($M252="비지정후원금",$N252,0)</f>
        <v>0</v>
      </c>
      <c r="U252" s="545">
        <f t="shared" ref="U252:U253" si="84">IF(OR($M252="수익사업"),$N252,0)</f>
        <v>0</v>
      </c>
      <c r="V252" s="545">
        <f t="shared" si="47"/>
        <v>0</v>
      </c>
    </row>
    <row r="253" spans="1:22" s="546" customFormat="1" ht="21" customHeight="1" thickBot="1">
      <c r="A253" s="887"/>
      <c r="B253" s="887"/>
      <c r="C253" s="900"/>
      <c r="D253" s="897">
        <v>5380000</v>
      </c>
      <c r="E253" s="897">
        <f>N253</f>
        <v>5340000</v>
      </c>
      <c r="F253" s="703">
        <f>I253</f>
        <v>5340000</v>
      </c>
      <c r="G253" s="703">
        <f t="shared" ref="G253" si="85">E253-D253</f>
        <v>-40000</v>
      </c>
      <c r="H253" s="734" t="s">
        <v>641</v>
      </c>
      <c r="I253" s="598">
        <v>5340000</v>
      </c>
      <c r="J253" s="599">
        <v>1</v>
      </c>
      <c r="K253" s="600" t="s">
        <v>464</v>
      </c>
      <c r="L253" s="600"/>
      <c r="M253" s="769" t="s">
        <v>33</v>
      </c>
      <c r="N253" s="790">
        <f>I253*J253</f>
        <v>5340000</v>
      </c>
      <c r="P253" s="545">
        <f t="shared" si="79"/>
        <v>5340000</v>
      </c>
      <c r="Q253" s="545">
        <f t="shared" si="80"/>
        <v>0</v>
      </c>
      <c r="R253" s="545">
        <f t="shared" si="81"/>
        <v>0</v>
      </c>
      <c r="S253" s="545">
        <f t="shared" si="82"/>
        <v>0</v>
      </c>
      <c r="T253" s="545">
        <f t="shared" si="83"/>
        <v>0</v>
      </c>
      <c r="U253" s="545">
        <f t="shared" si="84"/>
        <v>0</v>
      </c>
      <c r="V253" s="545">
        <f t="shared" si="47"/>
        <v>0</v>
      </c>
    </row>
    <row r="254" spans="1:22" s="546" customFormat="1" ht="21" hidden="1" customHeight="1" thickBot="1">
      <c r="A254" s="887"/>
      <c r="B254" s="887"/>
      <c r="C254" s="577" t="s">
        <v>594</v>
      </c>
      <c r="D254" s="885"/>
      <c r="E254" s="885">
        <f>N254</f>
        <v>0</v>
      </c>
      <c r="F254" s="885">
        <f>SUM(F255:F258)</f>
        <v>0</v>
      </c>
      <c r="G254" s="577">
        <f>E254-D254</f>
        <v>0</v>
      </c>
      <c r="H254" s="591" t="s">
        <v>594</v>
      </c>
      <c r="I254" s="592"/>
      <c r="J254" s="593"/>
      <c r="K254" s="593"/>
      <c r="L254" s="594"/>
      <c r="M254" s="595"/>
      <c r="N254" s="780">
        <f>SUM(N255:N255)</f>
        <v>0</v>
      </c>
      <c r="P254" s="546">
        <f>P255</f>
        <v>0</v>
      </c>
    </row>
    <row r="255" spans="1:22" s="546" customFormat="1" ht="21" hidden="1" customHeight="1" thickBot="1">
      <c r="A255" s="887"/>
      <c r="B255" s="887"/>
      <c r="C255" s="887"/>
      <c r="D255" s="897"/>
      <c r="E255" s="897">
        <f>I255</f>
        <v>0</v>
      </c>
      <c r="F255" s="894"/>
      <c r="G255" s="887">
        <f>E255-D255</f>
        <v>0</v>
      </c>
      <c r="H255" s="680"/>
      <c r="I255" s="681"/>
      <c r="J255" s="1011">
        <v>1</v>
      </c>
      <c r="K255" s="626" t="s">
        <v>577</v>
      </c>
      <c r="L255" s="626"/>
      <c r="M255" s="766" t="s">
        <v>33</v>
      </c>
      <c r="N255" s="683">
        <f t="shared" ref="N255" si="86">I255*J255</f>
        <v>0</v>
      </c>
      <c r="P255" s="545">
        <f t="shared" ref="P255" si="87">IF($M255="보조금",$N255,0)</f>
        <v>0</v>
      </c>
    </row>
    <row r="256" spans="1:22" s="546" customFormat="1" ht="21" customHeight="1" thickBot="1">
      <c r="A256" s="887"/>
      <c r="B256" s="887"/>
      <c r="C256" s="577" t="s">
        <v>199</v>
      </c>
      <c r="D256" s="885">
        <f>SUM(D257:D258)</f>
        <v>59557000</v>
      </c>
      <c r="E256" s="885">
        <f>SUM(E257:E258)</f>
        <v>19300000</v>
      </c>
      <c r="F256" s="885">
        <f>SUM(F257:F258)</f>
        <v>0</v>
      </c>
      <c r="G256" s="577">
        <f>E256-D256</f>
        <v>-40257000</v>
      </c>
      <c r="H256" s="591" t="s">
        <v>199</v>
      </c>
      <c r="I256" s="592"/>
      <c r="J256" s="593"/>
      <c r="K256" s="593"/>
      <c r="L256" s="594"/>
      <c r="M256" s="595"/>
      <c r="N256" s="780">
        <f>SUM(N257:N258)</f>
        <v>19300000</v>
      </c>
      <c r="P256" s="546">
        <f t="shared" ref="P256:U256" si="88">SUM(P257:P258)</f>
        <v>19300000</v>
      </c>
      <c r="Q256" s="546">
        <f t="shared" si="88"/>
        <v>0</v>
      </c>
      <c r="R256" s="546">
        <f t="shared" si="88"/>
        <v>0</v>
      </c>
      <c r="S256" s="546">
        <f t="shared" si="88"/>
        <v>0</v>
      </c>
      <c r="T256" s="546">
        <f t="shared" si="88"/>
        <v>0</v>
      </c>
      <c r="U256" s="546">
        <f t="shared" si="88"/>
        <v>0</v>
      </c>
      <c r="V256" s="546">
        <f>IF(OR($M256="잡지출"),$N256,0)</f>
        <v>0</v>
      </c>
    </row>
    <row r="257" spans="1:22" s="546" customFormat="1" ht="21" customHeight="1">
      <c r="A257" s="703"/>
      <c r="B257" s="703"/>
      <c r="C257" s="900"/>
      <c r="D257" s="897">
        <v>19300000</v>
      </c>
      <c r="E257" s="897">
        <f>N257</f>
        <v>19300000</v>
      </c>
      <c r="F257" s="897"/>
      <c r="G257" s="703">
        <f t="shared" ref="G257:G258" si="89">E257-D257</f>
        <v>0</v>
      </c>
      <c r="H257" s="1010" t="s">
        <v>642</v>
      </c>
      <c r="I257" s="648">
        <v>19300000</v>
      </c>
      <c r="J257" s="1009">
        <v>1</v>
      </c>
      <c r="K257" s="649" t="s">
        <v>464</v>
      </c>
      <c r="L257" s="649"/>
      <c r="M257" s="1007" t="s">
        <v>33</v>
      </c>
      <c r="N257" s="1008">
        <f t="shared" ref="N257:N258" si="90">I257*J257</f>
        <v>19300000</v>
      </c>
      <c r="P257" s="545">
        <f t="shared" ref="P257:P258" si="91">IF($M257="보조금",$N257,0)</f>
        <v>19300000</v>
      </c>
      <c r="Q257" s="545"/>
      <c r="R257" s="545"/>
      <c r="S257" s="545"/>
      <c r="T257" s="545"/>
      <c r="U257" s="545"/>
    </row>
    <row r="258" spans="1:22" s="546" customFormat="1" ht="21" customHeight="1" thickBot="1">
      <c r="A258" s="703"/>
      <c r="B258" s="703"/>
      <c r="C258" s="900"/>
      <c r="D258" s="897">
        <v>40257000</v>
      </c>
      <c r="E258" s="897">
        <f t="shared" ref="E258" si="92">I258</f>
        <v>0</v>
      </c>
      <c r="F258" s="897"/>
      <c r="G258" s="703">
        <f t="shared" si="89"/>
        <v>-40257000</v>
      </c>
      <c r="H258" s="617" t="s">
        <v>694</v>
      </c>
      <c r="I258" s="619">
        <v>0</v>
      </c>
      <c r="J258" s="1012">
        <v>1</v>
      </c>
      <c r="K258" s="620" t="s">
        <v>464</v>
      </c>
      <c r="L258" s="620" t="s">
        <v>700</v>
      </c>
      <c r="M258" s="768" t="s">
        <v>33</v>
      </c>
      <c r="N258" s="686">
        <f t="shared" si="90"/>
        <v>0</v>
      </c>
      <c r="P258" s="545">
        <f t="shared" si="91"/>
        <v>0</v>
      </c>
      <c r="Q258" s="545"/>
      <c r="R258" s="545"/>
      <c r="S258" s="545"/>
      <c r="T258" s="545"/>
      <c r="U258" s="545"/>
    </row>
    <row r="259" spans="1:22" s="546" customFormat="1" ht="21" customHeight="1" thickBot="1">
      <c r="A259" s="577" t="s">
        <v>116</v>
      </c>
      <c r="B259" s="577"/>
      <c r="C259" s="577"/>
      <c r="D259" s="885">
        <f>D260+D271</f>
        <v>1158811480</v>
      </c>
      <c r="E259" s="885">
        <f>E260+E271</f>
        <v>1193143968</v>
      </c>
      <c r="F259" s="885">
        <f>F260+F271</f>
        <v>1136271968</v>
      </c>
      <c r="G259" s="583">
        <f t="shared" ref="G259" si="93">E259-D259</f>
        <v>34332488</v>
      </c>
      <c r="H259" s="809"/>
      <c r="I259" s="810"/>
      <c r="J259" s="811"/>
      <c r="K259" s="811"/>
      <c r="L259" s="778"/>
      <c r="M259" s="746"/>
      <c r="N259" s="577">
        <f>N260+N271</f>
        <v>1193143968</v>
      </c>
      <c r="P259" s="546">
        <f>P260+P271</f>
        <v>1100389680</v>
      </c>
      <c r="Q259" s="546">
        <f t="shared" ref="Q259:U259" si="94">Q260+Q271</f>
        <v>11100000</v>
      </c>
      <c r="R259" s="546">
        <f t="shared" si="94"/>
        <v>13428258</v>
      </c>
      <c r="S259" s="546">
        <f t="shared" si="94"/>
        <v>4700000</v>
      </c>
      <c r="T259" s="546">
        <f t="shared" si="94"/>
        <v>11020000</v>
      </c>
      <c r="U259" s="546">
        <f t="shared" si="94"/>
        <v>52506030</v>
      </c>
      <c r="V259" s="546">
        <f t="shared" ref="V259:V264" si="95">IF(OR($M259="잡지출"),$N259,0)</f>
        <v>0</v>
      </c>
    </row>
    <row r="260" spans="1:22" s="546" customFormat="1" ht="21" customHeight="1" thickBot="1">
      <c r="A260" s="887"/>
      <c r="B260" s="577" t="s">
        <v>188</v>
      </c>
      <c r="C260" s="577"/>
      <c r="D260" s="885">
        <v>296790000</v>
      </c>
      <c r="E260" s="885">
        <f>E261+E264+E268</f>
        <v>331160258</v>
      </c>
      <c r="F260" s="885">
        <f>F261+F264+F268</f>
        <v>304304258</v>
      </c>
      <c r="G260" s="583">
        <f>E260-D260</f>
        <v>34370258</v>
      </c>
      <c r="H260" s="636"/>
      <c r="I260" s="637"/>
      <c r="J260" s="638"/>
      <c r="K260" s="638"/>
      <c r="L260" s="778"/>
      <c r="M260" s="746"/>
      <c r="N260" s="596">
        <f>N261+N264+N268</f>
        <v>331160258</v>
      </c>
      <c r="P260" s="546">
        <f>P261+P264+P268</f>
        <v>330332000</v>
      </c>
      <c r="Q260" s="546">
        <f t="shared" ref="Q260:U260" si="96">Q261+Q264+Q268</f>
        <v>0</v>
      </c>
      <c r="R260" s="546">
        <f t="shared" si="96"/>
        <v>328258</v>
      </c>
      <c r="S260" s="546">
        <f t="shared" si="96"/>
        <v>0</v>
      </c>
      <c r="T260" s="546">
        <f>T261+T264+T268</f>
        <v>500000</v>
      </c>
      <c r="U260" s="546">
        <f t="shared" si="96"/>
        <v>0</v>
      </c>
      <c r="V260" s="546">
        <f t="shared" si="95"/>
        <v>0</v>
      </c>
    </row>
    <row r="261" spans="1:22" s="546" customFormat="1" ht="21" customHeight="1" thickBot="1">
      <c r="A261" s="887"/>
      <c r="B261" s="887"/>
      <c r="C261" s="892" t="s">
        <v>113</v>
      </c>
      <c r="D261" s="901">
        <v>295520000</v>
      </c>
      <c r="E261" s="901">
        <f>E262+E263</f>
        <v>329832000</v>
      </c>
      <c r="F261" s="901">
        <f>F262</f>
        <v>302976000</v>
      </c>
      <c r="G261" s="892">
        <f>E261-D261</f>
        <v>34312000</v>
      </c>
      <c r="H261" s="689" t="s">
        <v>113</v>
      </c>
      <c r="I261" s="727"/>
      <c r="J261" s="691"/>
      <c r="K261" s="691"/>
      <c r="L261" s="821"/>
      <c r="M261" s="822"/>
      <c r="N261" s="1117">
        <f>N262+N263</f>
        <v>329832000</v>
      </c>
      <c r="P261" s="546">
        <f>P262+P263</f>
        <v>329832000</v>
      </c>
      <c r="Q261" s="546">
        <f t="shared" ref="Q261:U261" si="97">Q262</f>
        <v>0</v>
      </c>
      <c r="R261" s="546">
        <f t="shared" si="97"/>
        <v>0</v>
      </c>
      <c r="S261" s="546">
        <f t="shared" si="97"/>
        <v>0</v>
      </c>
      <c r="T261" s="546">
        <f t="shared" si="97"/>
        <v>0</v>
      </c>
      <c r="U261" s="546">
        <f t="shared" si="97"/>
        <v>0</v>
      </c>
      <c r="V261" s="546">
        <f t="shared" si="95"/>
        <v>0</v>
      </c>
    </row>
    <row r="262" spans="1:22" s="546" customFormat="1" ht="21" customHeight="1">
      <c r="A262" s="887"/>
      <c r="B262" s="894"/>
      <c r="C262" s="901"/>
      <c r="D262" s="898">
        <v>272000000</v>
      </c>
      <c r="E262" s="898">
        <f>N262</f>
        <v>302976000</v>
      </c>
      <c r="F262" s="821">
        <f>N262</f>
        <v>302976000</v>
      </c>
      <c r="G262" s="821">
        <f t="shared" ref="G262" si="98">E262-D262</f>
        <v>30976000</v>
      </c>
      <c r="H262" s="1010" t="s">
        <v>4</v>
      </c>
      <c r="I262" s="648">
        <v>302976000</v>
      </c>
      <c r="J262" s="1009"/>
      <c r="K262" s="649" t="s">
        <v>464</v>
      </c>
      <c r="L262" s="649" t="s">
        <v>699</v>
      </c>
      <c r="M262" s="1007" t="s">
        <v>33</v>
      </c>
      <c r="N262" s="1118">
        <f>I262</f>
        <v>302976000</v>
      </c>
      <c r="P262" s="545">
        <f t="shared" ref="P262:P263" si="99">IF($M262="보조금",$N262,0)</f>
        <v>302976000</v>
      </c>
      <c r="Q262" s="545">
        <f t="shared" ref="Q262:Q263" si="100">IF($M262="법인전입금",$N262,0)</f>
        <v>0</v>
      </c>
      <c r="R262" s="545">
        <f t="shared" ref="R262:R263" si="101">IF($M262="구법인",$N262,0)</f>
        <v>0</v>
      </c>
      <c r="S262" s="545">
        <f t="shared" ref="S262:S263" si="102">IF($M262="지정후원금",$N262,0)</f>
        <v>0</v>
      </c>
      <c r="T262" s="545">
        <f t="shared" ref="T262:T263" si="103">IF($M262="비지정후원금",$N262,0)</f>
        <v>0</v>
      </c>
      <c r="U262" s="545">
        <f t="shared" ref="U262:U263" si="104">IF(OR($M262="수익사업"),$N262,0)</f>
        <v>0</v>
      </c>
      <c r="V262" s="545">
        <f t="shared" si="95"/>
        <v>0</v>
      </c>
    </row>
    <row r="263" spans="1:22" s="546" customFormat="1" ht="21" customHeight="1" thickBot="1">
      <c r="A263" s="887"/>
      <c r="B263" s="894"/>
      <c r="C263" s="884"/>
      <c r="D263" s="903">
        <v>23520000</v>
      </c>
      <c r="E263" s="903">
        <f>N263</f>
        <v>26856000</v>
      </c>
      <c r="F263" s="1116"/>
      <c r="G263" s="1116">
        <f>E263-D263</f>
        <v>3336000</v>
      </c>
      <c r="H263" s="1140" t="s">
        <v>629</v>
      </c>
      <c r="I263" s="1141">
        <v>26856000</v>
      </c>
      <c r="J263" s="1142"/>
      <c r="K263" s="1143" t="s">
        <v>464</v>
      </c>
      <c r="L263" s="1143"/>
      <c r="M263" s="1144" t="s">
        <v>33</v>
      </c>
      <c r="N263" s="903">
        <f>I263</f>
        <v>26856000</v>
      </c>
      <c r="P263" s="545">
        <f t="shared" si="99"/>
        <v>26856000</v>
      </c>
      <c r="Q263" s="545">
        <f t="shared" si="100"/>
        <v>0</v>
      </c>
      <c r="R263" s="545">
        <f t="shared" si="101"/>
        <v>0</v>
      </c>
      <c r="S263" s="545">
        <f t="shared" si="102"/>
        <v>0</v>
      </c>
      <c r="T263" s="545">
        <f t="shared" si="103"/>
        <v>0</v>
      </c>
      <c r="U263" s="545">
        <f t="shared" si="104"/>
        <v>0</v>
      </c>
      <c r="V263" s="545">
        <f t="shared" si="95"/>
        <v>0</v>
      </c>
    </row>
    <row r="264" spans="1:22" s="546" customFormat="1" ht="21" customHeight="1" thickBot="1">
      <c r="A264" s="887"/>
      <c r="B264" s="887"/>
      <c r="C264" s="887" t="s">
        <v>399</v>
      </c>
      <c r="D264" s="894">
        <v>1000000</v>
      </c>
      <c r="E264" s="894">
        <f>E266+E267</f>
        <v>1000000</v>
      </c>
      <c r="F264" s="894">
        <f>F265</f>
        <v>1000000</v>
      </c>
      <c r="G264" s="931">
        <f>E264-D264</f>
        <v>0</v>
      </c>
      <c r="H264" s="870"/>
      <c r="I264" s="871"/>
      <c r="J264" s="872"/>
      <c r="K264" s="872"/>
      <c r="L264" s="905"/>
      <c r="M264" s="1089"/>
      <c r="N264" s="908">
        <f>SUM(N265:N267)</f>
        <v>1000000</v>
      </c>
      <c r="P264" s="546">
        <f>SUM(P265:P267)</f>
        <v>500000</v>
      </c>
      <c r="Q264" s="546">
        <f t="shared" ref="Q264:U264" si="105">SUM(Q265:Q267)</f>
        <v>0</v>
      </c>
      <c r="R264" s="546">
        <f t="shared" si="105"/>
        <v>0</v>
      </c>
      <c r="S264" s="546">
        <f t="shared" si="105"/>
        <v>0</v>
      </c>
      <c r="T264" s="546">
        <f t="shared" si="105"/>
        <v>500000</v>
      </c>
      <c r="U264" s="546">
        <f t="shared" si="105"/>
        <v>0</v>
      </c>
      <c r="V264" s="546">
        <f t="shared" si="95"/>
        <v>0</v>
      </c>
    </row>
    <row r="265" spans="1:22" s="546" customFormat="1" ht="21" customHeight="1">
      <c r="A265" s="887"/>
      <c r="B265" s="887"/>
      <c r="C265" s="752" t="s">
        <v>201</v>
      </c>
      <c r="D265" s="899"/>
      <c r="E265" s="898"/>
      <c r="F265" s="898">
        <f>I265</f>
        <v>1000000</v>
      </c>
      <c r="G265" s="898"/>
      <c r="H265" s="824" t="s">
        <v>475</v>
      </c>
      <c r="I265" s="825">
        <f>SUM(I266:I267)</f>
        <v>1000000</v>
      </c>
      <c r="J265" s="730"/>
      <c r="K265" s="730"/>
      <c r="L265" s="730"/>
      <c r="M265" s="731"/>
      <c r="N265" s="826"/>
      <c r="P265" s="545"/>
      <c r="Q265" s="545"/>
      <c r="R265" s="545"/>
      <c r="S265" s="545"/>
      <c r="T265" s="545"/>
      <c r="U265" s="545"/>
    </row>
    <row r="266" spans="1:22" s="546" customFormat="1" ht="21" customHeight="1">
      <c r="A266" s="887"/>
      <c r="B266" s="887"/>
      <c r="C266" s="683"/>
      <c r="D266" s="897">
        <v>500000</v>
      </c>
      <c r="E266" s="897">
        <f>N266</f>
        <v>500000</v>
      </c>
      <c r="F266" s="897"/>
      <c r="G266" s="703">
        <f t="shared" ref="G266:G267" si="106">E266-D266</f>
        <v>0</v>
      </c>
      <c r="H266" s="814" t="s">
        <v>201</v>
      </c>
      <c r="I266" s="827">
        <v>500000</v>
      </c>
      <c r="J266" s="828">
        <v>1</v>
      </c>
      <c r="K266" s="828" t="s">
        <v>464</v>
      </c>
      <c r="L266" s="828"/>
      <c r="M266" s="661" t="s">
        <v>209</v>
      </c>
      <c r="N266" s="788">
        <f t="shared" ref="N266:N267" si="107">I266*J266</f>
        <v>500000</v>
      </c>
      <c r="P266" s="545">
        <f t="shared" ref="P266:P267" si="108">IF($M266="보조금",$N266,0)</f>
        <v>0</v>
      </c>
      <c r="Q266" s="545">
        <f t="shared" ref="Q266:Q267" si="109">IF($M266="법인전입금",$N266,0)</f>
        <v>0</v>
      </c>
      <c r="R266" s="545">
        <f t="shared" ref="R266:R267" si="110">IF($M266="구법인",$N266,0)</f>
        <v>0</v>
      </c>
      <c r="S266" s="545">
        <f t="shared" ref="S266:S267" si="111">IF($M266="지정후원금",$N266,0)</f>
        <v>0</v>
      </c>
      <c r="T266" s="545">
        <f t="shared" ref="T266:T267" si="112">IF($M266="비지정후원금",$N266,0)</f>
        <v>500000</v>
      </c>
      <c r="U266" s="545">
        <f t="shared" ref="U266:U267" si="113">IF(OR($M266="수익사업"),$N266,0)</f>
        <v>0</v>
      </c>
      <c r="V266" s="545">
        <f t="shared" ref="V266:V297" si="114">IF(OR($M266="잡지출"),$N266,0)</f>
        <v>0</v>
      </c>
    </row>
    <row r="267" spans="1:22" s="546" customFormat="1" ht="105" customHeight="1" thickBot="1">
      <c r="A267" s="887"/>
      <c r="B267" s="887"/>
      <c r="C267" s="688"/>
      <c r="D267" s="902">
        <v>500000</v>
      </c>
      <c r="E267" s="902">
        <f>N267</f>
        <v>500000</v>
      </c>
      <c r="F267" s="902"/>
      <c r="G267" s="703">
        <f t="shared" si="106"/>
        <v>0</v>
      </c>
      <c r="H267" s="820" t="s">
        <v>201</v>
      </c>
      <c r="I267" s="829">
        <v>500000</v>
      </c>
      <c r="J267" s="664">
        <v>1</v>
      </c>
      <c r="K267" s="664" t="s">
        <v>464</v>
      </c>
      <c r="L267" s="666" t="s">
        <v>701</v>
      </c>
      <c r="M267" s="667" t="s">
        <v>33</v>
      </c>
      <c r="N267" s="675">
        <f t="shared" si="107"/>
        <v>500000</v>
      </c>
      <c r="P267" s="545">
        <f t="shared" si="108"/>
        <v>500000</v>
      </c>
      <c r="Q267" s="545">
        <f t="shared" si="109"/>
        <v>0</v>
      </c>
      <c r="R267" s="545">
        <f t="shared" si="110"/>
        <v>0</v>
      </c>
      <c r="S267" s="545">
        <f t="shared" si="111"/>
        <v>0</v>
      </c>
      <c r="T267" s="545">
        <f t="shared" si="112"/>
        <v>0</v>
      </c>
      <c r="U267" s="545">
        <f t="shared" si="113"/>
        <v>0</v>
      </c>
      <c r="V267" s="545">
        <f t="shared" si="114"/>
        <v>0</v>
      </c>
    </row>
    <row r="268" spans="1:22" s="546" customFormat="1" ht="21" customHeight="1" thickBot="1">
      <c r="A268" s="887"/>
      <c r="B268" s="887"/>
      <c r="C268" s="577" t="s">
        <v>200</v>
      </c>
      <c r="D268" s="885">
        <v>270000</v>
      </c>
      <c r="E268" s="885">
        <f>SUM(E269:E270)</f>
        <v>328258</v>
      </c>
      <c r="F268" s="885">
        <f>SUM(F269:F270)</f>
        <v>328258</v>
      </c>
      <c r="G268" s="577">
        <f>E268-D268</f>
        <v>58258</v>
      </c>
      <c r="H268" s="573"/>
      <c r="I268" s="574"/>
      <c r="J268" s="575"/>
      <c r="K268" s="575"/>
      <c r="L268" s="576"/>
      <c r="M268" s="830"/>
      <c r="N268" s="780">
        <f>SUM(N269:N270)</f>
        <v>328258</v>
      </c>
      <c r="P268" s="546">
        <f t="shared" ref="P268:U268" si="115">SUM(P269:P270)</f>
        <v>0</v>
      </c>
      <c r="Q268" s="546">
        <f t="shared" si="115"/>
        <v>0</v>
      </c>
      <c r="R268" s="546">
        <f t="shared" si="115"/>
        <v>328258</v>
      </c>
      <c r="S268" s="546">
        <f t="shared" si="115"/>
        <v>0</v>
      </c>
      <c r="T268" s="546">
        <f t="shared" si="115"/>
        <v>0</v>
      </c>
      <c r="U268" s="546">
        <f t="shared" si="115"/>
        <v>0</v>
      </c>
      <c r="V268" s="546">
        <f t="shared" si="114"/>
        <v>0</v>
      </c>
    </row>
    <row r="269" spans="1:22" s="546" customFormat="1" ht="21" customHeight="1">
      <c r="A269" s="887"/>
      <c r="B269" s="887"/>
      <c r="C269" s="752" t="s">
        <v>200</v>
      </c>
      <c r="D269" s="899">
        <v>270000</v>
      </c>
      <c r="E269" s="899">
        <f>I269</f>
        <v>328258</v>
      </c>
      <c r="F269" s="899">
        <f>I269</f>
        <v>328258</v>
      </c>
      <c r="G269" s="703">
        <f t="shared" ref="G269" si="116">E269-D269</f>
        <v>58258</v>
      </c>
      <c r="H269" s="831" t="s">
        <v>474</v>
      </c>
      <c r="I269" s="825">
        <f>SUM(I270:I270)</f>
        <v>328258</v>
      </c>
      <c r="J269" s="832"/>
      <c r="K269" s="832"/>
      <c r="L269" s="730"/>
      <c r="M269" s="731"/>
      <c r="N269" s="710">
        <f>I269*J269</f>
        <v>0</v>
      </c>
      <c r="P269" s="545">
        <f>IF($M269="보조금",$I269,0)</f>
        <v>0</v>
      </c>
      <c r="Q269" s="545">
        <f t="shared" ref="Q269:Q270" si="117">IF($M269="법인전입금",$I269,0)</f>
        <v>0</v>
      </c>
      <c r="R269" s="545">
        <f>IF($M269="구법인",$I269,0)</f>
        <v>0</v>
      </c>
      <c r="S269" s="545">
        <f t="shared" ref="S269:S270" si="118">IF($M269="지정후원금",$N269,0)</f>
        <v>0</v>
      </c>
      <c r="T269" s="545">
        <f t="shared" ref="T269:T270" si="119">IF($M269="비지정후원금",$N269,0)</f>
        <v>0</v>
      </c>
      <c r="U269" s="545">
        <f t="shared" ref="U269:U270" si="120">IF(OR($M269="수익사업"),$N269,0)</f>
        <v>0</v>
      </c>
      <c r="V269" s="546">
        <f t="shared" si="114"/>
        <v>0</v>
      </c>
    </row>
    <row r="270" spans="1:22" s="546" customFormat="1" ht="21" customHeight="1" thickBot="1">
      <c r="A270" s="887"/>
      <c r="B270" s="887"/>
      <c r="C270" s="893"/>
      <c r="D270" s="884"/>
      <c r="E270" s="884"/>
      <c r="F270" s="884"/>
      <c r="G270" s="903"/>
      <c r="H270" s="838" t="s">
        <v>200</v>
      </c>
      <c r="I270" s="829">
        <v>328258</v>
      </c>
      <c r="J270" s="839">
        <v>1</v>
      </c>
      <c r="K270" s="664" t="s">
        <v>464</v>
      </c>
      <c r="L270" s="664"/>
      <c r="M270" s="667" t="s">
        <v>457</v>
      </c>
      <c r="N270" s="767">
        <f>I270*J270</f>
        <v>328258</v>
      </c>
      <c r="P270" s="545">
        <f t="shared" ref="P270" si="121">IF($M270="보조금",$I270,0)</f>
        <v>0</v>
      </c>
      <c r="Q270" s="545">
        <f t="shared" si="117"/>
        <v>0</v>
      </c>
      <c r="R270" s="545">
        <f t="shared" ref="R270" si="122">IF($M270="구법인",$I270,0)</f>
        <v>328258</v>
      </c>
      <c r="S270" s="545">
        <f t="shared" si="118"/>
        <v>0</v>
      </c>
      <c r="T270" s="545">
        <f t="shared" si="119"/>
        <v>0</v>
      </c>
      <c r="U270" s="545">
        <f t="shared" si="120"/>
        <v>0</v>
      </c>
      <c r="V270" s="546">
        <f t="shared" si="114"/>
        <v>0</v>
      </c>
    </row>
    <row r="271" spans="1:22" s="546" customFormat="1" ht="21" customHeight="1" thickBot="1">
      <c r="A271" s="887"/>
      <c r="B271" s="577" t="s">
        <v>116</v>
      </c>
      <c r="C271" s="577"/>
      <c r="D271" s="901">
        <v>862021480</v>
      </c>
      <c r="E271" s="885">
        <f t="shared" ref="E271:F271" si="123">E272</f>
        <v>861983710</v>
      </c>
      <c r="F271" s="885">
        <f t="shared" si="123"/>
        <v>831967710</v>
      </c>
      <c r="G271" s="583">
        <f>E271-D271</f>
        <v>-37770</v>
      </c>
      <c r="H271" s="591"/>
      <c r="I271" s="592"/>
      <c r="J271" s="593"/>
      <c r="K271" s="593"/>
      <c r="L271" s="576"/>
      <c r="M271" s="830"/>
      <c r="N271" s="596">
        <f>N272</f>
        <v>861983710</v>
      </c>
      <c r="P271" s="546">
        <f>P272</f>
        <v>770057680</v>
      </c>
      <c r="Q271" s="546">
        <f t="shared" ref="Q271:U271" si="124">Q272</f>
        <v>11100000</v>
      </c>
      <c r="R271" s="546">
        <f t="shared" si="124"/>
        <v>13100000</v>
      </c>
      <c r="S271" s="546">
        <f t="shared" si="124"/>
        <v>4700000</v>
      </c>
      <c r="T271" s="546">
        <f t="shared" si="124"/>
        <v>10520000</v>
      </c>
      <c r="U271" s="546">
        <f t="shared" si="124"/>
        <v>52506030</v>
      </c>
      <c r="V271" s="546">
        <f t="shared" si="114"/>
        <v>0</v>
      </c>
    </row>
    <row r="272" spans="1:22" s="546" customFormat="1" ht="21" customHeight="1" thickBot="1">
      <c r="A272" s="887"/>
      <c r="B272" s="887"/>
      <c r="C272" s="892" t="s">
        <v>116</v>
      </c>
      <c r="D272" s="901">
        <v>862021480</v>
      </c>
      <c r="E272" s="901">
        <f>N272</f>
        <v>861983710</v>
      </c>
      <c r="F272" s="901">
        <f>SUM(F273:F314)</f>
        <v>831967710</v>
      </c>
      <c r="G272" s="892">
        <f>E272-D272</f>
        <v>-37770</v>
      </c>
      <c r="H272" s="591" t="s">
        <v>400</v>
      </c>
      <c r="I272" s="592"/>
      <c r="J272" s="593"/>
      <c r="K272" s="593"/>
      <c r="L272" s="576"/>
      <c r="M272" s="830"/>
      <c r="N272" s="577">
        <f>N273+N276+N279+N281+N283+N286+N289+N293+N294+N295+N298+N299+N300+N302+N303+N304+N305+N306+N307+N308+N313</f>
        <v>861983710</v>
      </c>
      <c r="P272" s="546">
        <f t="shared" ref="P272:U272" si="125">SUM(P273:P314)</f>
        <v>770057680</v>
      </c>
      <c r="Q272" s="546">
        <f t="shared" si="125"/>
        <v>11100000</v>
      </c>
      <c r="R272" s="546">
        <f t="shared" si="125"/>
        <v>13100000</v>
      </c>
      <c r="S272" s="546">
        <f t="shared" si="125"/>
        <v>4700000</v>
      </c>
      <c r="T272" s="546">
        <f t="shared" si="125"/>
        <v>10520000</v>
      </c>
      <c r="U272" s="546">
        <f t="shared" si="125"/>
        <v>52506030</v>
      </c>
      <c r="V272" s="546">
        <f t="shared" si="114"/>
        <v>0</v>
      </c>
    </row>
    <row r="273" spans="1:22" s="546" customFormat="1" ht="21" customHeight="1">
      <c r="A273" s="887"/>
      <c r="B273" s="894"/>
      <c r="C273" s="1005"/>
      <c r="D273" s="898">
        <v>753450680</v>
      </c>
      <c r="E273" s="898">
        <f>I273</f>
        <v>753450680</v>
      </c>
      <c r="F273" s="821">
        <f t="shared" ref="F273" si="126">N273</f>
        <v>753450680</v>
      </c>
      <c r="G273" s="898">
        <f t="shared" ref="G273:G313" si="127">E273-D273</f>
        <v>0</v>
      </c>
      <c r="H273" s="824" t="s">
        <v>597</v>
      </c>
      <c r="I273" s="825">
        <f>SUM(I274:I275)</f>
        <v>753450680</v>
      </c>
      <c r="J273" s="988"/>
      <c r="K273" s="988"/>
      <c r="L273" s="730"/>
      <c r="M273" s="731"/>
      <c r="N273" s="1034">
        <f>I273</f>
        <v>753450680</v>
      </c>
      <c r="P273" s="545">
        <f>IF($M273="보조금",$N273,0)</f>
        <v>0</v>
      </c>
      <c r="Q273" s="545">
        <f t="shared" ref="Q273:Q313" si="128">IF($M273="법인전입금",$N273,0)</f>
        <v>0</v>
      </c>
      <c r="R273" s="545">
        <f t="shared" ref="R273:R313" si="129">IF($M273="구법인",$N273,0)</f>
        <v>0</v>
      </c>
      <c r="S273" s="545">
        <f t="shared" ref="S273:S314" si="130">IF($M273="지정후원금",$N273,0)</f>
        <v>0</v>
      </c>
      <c r="T273" s="545">
        <f t="shared" ref="T273:T314" si="131">IF($M273="비지정후원금",$N273,0)</f>
        <v>0</v>
      </c>
      <c r="U273" s="545">
        <f t="shared" ref="U273:U314" si="132">IF(OR($M273="수익사업"),$N273,0)</f>
        <v>0</v>
      </c>
      <c r="V273" s="546">
        <f t="shared" si="114"/>
        <v>0</v>
      </c>
    </row>
    <row r="274" spans="1:22" s="546" customFormat="1" ht="142.5">
      <c r="A274" s="887"/>
      <c r="B274" s="894"/>
      <c r="C274" s="907"/>
      <c r="D274" s="703"/>
      <c r="E274" s="703"/>
      <c r="F274" s="905"/>
      <c r="G274" s="703"/>
      <c r="H274" s="1035" t="s">
        <v>598</v>
      </c>
      <c r="I274" s="598">
        <v>224389390</v>
      </c>
      <c r="J274" s="599">
        <v>1</v>
      </c>
      <c r="K274" s="600" t="s">
        <v>464</v>
      </c>
      <c r="L274" s="781" t="s">
        <v>651</v>
      </c>
      <c r="M274" s="848" t="s">
        <v>33</v>
      </c>
      <c r="N274" s="790">
        <f>J274*I274</f>
        <v>224389390</v>
      </c>
      <c r="P274" s="545">
        <f t="shared" ref="P274:P313" si="133">IF($M274="보조금",$N274,0)</f>
        <v>224389390</v>
      </c>
      <c r="Q274" s="545">
        <f t="shared" si="128"/>
        <v>0</v>
      </c>
      <c r="R274" s="545">
        <f t="shared" si="129"/>
        <v>0</v>
      </c>
      <c r="S274" s="545">
        <f t="shared" si="130"/>
        <v>0</v>
      </c>
      <c r="T274" s="545">
        <f t="shared" si="131"/>
        <v>0</v>
      </c>
      <c r="U274" s="545">
        <f t="shared" si="132"/>
        <v>0</v>
      </c>
      <c r="V274" s="545">
        <f t="shared" si="114"/>
        <v>0</v>
      </c>
    </row>
    <row r="275" spans="1:22" s="546" customFormat="1" ht="142.5">
      <c r="A275" s="887"/>
      <c r="B275" s="894"/>
      <c r="C275" s="907"/>
      <c r="D275" s="703"/>
      <c r="E275" s="703"/>
      <c r="F275" s="905"/>
      <c r="G275" s="703"/>
      <c r="H275" s="1036" t="s">
        <v>599</v>
      </c>
      <c r="I275" s="602">
        <v>529061290</v>
      </c>
      <c r="J275" s="603">
        <v>1</v>
      </c>
      <c r="K275" s="626" t="s">
        <v>464</v>
      </c>
      <c r="L275" s="1037" t="s">
        <v>652</v>
      </c>
      <c r="M275" s="674" t="s">
        <v>33</v>
      </c>
      <c r="N275" s="790">
        <f>J275*I275</f>
        <v>529061290</v>
      </c>
      <c r="P275" s="545">
        <f t="shared" si="133"/>
        <v>529061290</v>
      </c>
      <c r="Q275" s="545">
        <f t="shared" si="128"/>
        <v>0</v>
      </c>
      <c r="R275" s="545">
        <f t="shared" si="129"/>
        <v>0</v>
      </c>
      <c r="S275" s="545">
        <f t="shared" si="130"/>
        <v>0</v>
      </c>
      <c r="T275" s="545">
        <f t="shared" si="131"/>
        <v>0</v>
      </c>
      <c r="U275" s="545">
        <f t="shared" si="132"/>
        <v>0</v>
      </c>
      <c r="V275" s="545">
        <f t="shared" si="114"/>
        <v>0</v>
      </c>
    </row>
    <row r="276" spans="1:22" s="546" customFormat="1" ht="21" customHeight="1">
      <c r="A276" s="887"/>
      <c r="B276" s="894"/>
      <c r="C276" s="907"/>
      <c r="D276" s="703">
        <v>800000</v>
      </c>
      <c r="E276" s="703">
        <f>N276</f>
        <v>1200000</v>
      </c>
      <c r="F276" s="905"/>
      <c r="G276" s="703">
        <f t="shared" si="127"/>
        <v>400000</v>
      </c>
      <c r="H276" s="996" t="s">
        <v>600</v>
      </c>
      <c r="I276" s="842"/>
      <c r="J276" s="845"/>
      <c r="K276" s="609"/>
      <c r="L276" s="843"/>
      <c r="M276" s="676"/>
      <c r="N276" s="1038">
        <f>SUM(N277:N278)</f>
        <v>1200000</v>
      </c>
      <c r="P276" s="545">
        <f t="shared" si="133"/>
        <v>0</v>
      </c>
      <c r="Q276" s="545">
        <f t="shared" si="128"/>
        <v>0</v>
      </c>
      <c r="R276" s="545">
        <f t="shared" si="129"/>
        <v>0</v>
      </c>
      <c r="S276" s="545">
        <f t="shared" si="130"/>
        <v>0</v>
      </c>
      <c r="T276" s="545">
        <f t="shared" si="131"/>
        <v>0</v>
      </c>
      <c r="U276" s="545">
        <f t="shared" si="132"/>
        <v>0</v>
      </c>
      <c r="V276" s="545">
        <f t="shared" si="114"/>
        <v>0</v>
      </c>
    </row>
    <row r="277" spans="1:22" s="546" customFormat="1" ht="28.5">
      <c r="A277" s="887"/>
      <c r="B277" s="894"/>
      <c r="C277" s="907"/>
      <c r="D277" s="703"/>
      <c r="E277" s="703"/>
      <c r="F277" s="905"/>
      <c r="G277" s="703"/>
      <c r="H277" s="1002" t="s">
        <v>601</v>
      </c>
      <c r="I277" s="813">
        <v>800000</v>
      </c>
      <c r="J277" s="662">
        <v>1</v>
      </c>
      <c r="K277" s="600" t="s">
        <v>464</v>
      </c>
      <c r="L277" s="1039" t="s">
        <v>696</v>
      </c>
      <c r="M277" s="848" t="s">
        <v>126</v>
      </c>
      <c r="N277" s="790">
        <f>J277*I277</f>
        <v>800000</v>
      </c>
      <c r="P277" s="545">
        <f t="shared" si="133"/>
        <v>0</v>
      </c>
      <c r="Q277" s="545">
        <f t="shared" si="128"/>
        <v>800000</v>
      </c>
      <c r="R277" s="545">
        <f t="shared" si="129"/>
        <v>0</v>
      </c>
      <c r="S277" s="545">
        <f t="shared" si="130"/>
        <v>0</v>
      </c>
      <c r="T277" s="545">
        <f t="shared" si="131"/>
        <v>0</v>
      </c>
      <c r="U277" s="545">
        <f t="shared" si="132"/>
        <v>0</v>
      </c>
      <c r="V277" s="545">
        <f t="shared" si="114"/>
        <v>0</v>
      </c>
    </row>
    <row r="278" spans="1:22" s="546" customFormat="1" ht="42.75">
      <c r="A278" s="887"/>
      <c r="B278" s="894"/>
      <c r="C278" s="907"/>
      <c r="D278" s="703"/>
      <c r="E278" s="703"/>
      <c r="F278" s="905"/>
      <c r="G278" s="703"/>
      <c r="H278" s="1002" t="s">
        <v>601</v>
      </c>
      <c r="I278" s="813">
        <v>400000</v>
      </c>
      <c r="J278" s="662">
        <v>1</v>
      </c>
      <c r="K278" s="600" t="s">
        <v>464</v>
      </c>
      <c r="L278" s="1039" t="s">
        <v>602</v>
      </c>
      <c r="M278" s="848" t="s">
        <v>209</v>
      </c>
      <c r="N278" s="790">
        <f>J278*I278</f>
        <v>400000</v>
      </c>
      <c r="P278" s="545">
        <f t="shared" si="133"/>
        <v>0</v>
      </c>
      <c r="Q278" s="545">
        <f t="shared" si="128"/>
        <v>0</v>
      </c>
      <c r="R278" s="545">
        <f t="shared" si="129"/>
        <v>0</v>
      </c>
      <c r="S278" s="545">
        <f t="shared" si="130"/>
        <v>0</v>
      </c>
      <c r="T278" s="545">
        <f t="shared" si="131"/>
        <v>400000</v>
      </c>
      <c r="U278" s="545">
        <f t="shared" si="132"/>
        <v>0</v>
      </c>
      <c r="V278" s="545">
        <f t="shared" si="114"/>
        <v>0</v>
      </c>
    </row>
    <row r="279" spans="1:22" s="546" customFormat="1" ht="21" customHeight="1">
      <c r="A279" s="887"/>
      <c r="B279" s="894"/>
      <c r="C279" s="907"/>
      <c r="D279" s="703">
        <v>2890000</v>
      </c>
      <c r="E279" s="703">
        <f>I279</f>
        <v>3052000</v>
      </c>
      <c r="F279" s="905"/>
      <c r="G279" s="703">
        <f t="shared" si="127"/>
        <v>162000</v>
      </c>
      <c r="H279" s="999" t="s">
        <v>615</v>
      </c>
      <c r="I279" s="842">
        <f>SUM(I280:I280)</f>
        <v>3052000</v>
      </c>
      <c r="J279" s="608"/>
      <c r="K279" s="608"/>
      <c r="L279" s="608"/>
      <c r="M279" s="856"/>
      <c r="N279" s="1038">
        <f>I279</f>
        <v>3052000</v>
      </c>
      <c r="P279" s="545">
        <f t="shared" si="133"/>
        <v>0</v>
      </c>
      <c r="Q279" s="545">
        <f t="shared" si="128"/>
        <v>0</v>
      </c>
      <c r="R279" s="545">
        <f t="shared" si="129"/>
        <v>0</v>
      </c>
      <c r="S279" s="545">
        <f t="shared" si="130"/>
        <v>0</v>
      </c>
      <c r="T279" s="545">
        <f t="shared" si="131"/>
        <v>0</v>
      </c>
      <c r="U279" s="545">
        <f t="shared" si="132"/>
        <v>0</v>
      </c>
      <c r="V279" s="545">
        <f t="shared" si="114"/>
        <v>0</v>
      </c>
    </row>
    <row r="280" spans="1:22" s="546" customFormat="1" ht="18" customHeight="1">
      <c r="A280" s="887"/>
      <c r="B280" s="894"/>
      <c r="C280" s="907"/>
      <c r="D280" s="703"/>
      <c r="E280" s="703"/>
      <c r="F280" s="905"/>
      <c r="G280" s="703"/>
      <c r="H280" s="997" t="s">
        <v>653</v>
      </c>
      <c r="I280" s="704">
        <v>3052000</v>
      </c>
      <c r="J280" s="705">
        <v>1</v>
      </c>
      <c r="K280" s="614" t="s">
        <v>464</v>
      </c>
      <c r="L280" s="705" t="s">
        <v>603</v>
      </c>
      <c r="M280" s="837" t="s">
        <v>33</v>
      </c>
      <c r="N280" s="790">
        <f>I280*J280</f>
        <v>3052000</v>
      </c>
      <c r="P280" s="545">
        <f t="shared" si="133"/>
        <v>3052000</v>
      </c>
      <c r="Q280" s="545">
        <f t="shared" si="128"/>
        <v>0</v>
      </c>
      <c r="R280" s="545">
        <f t="shared" si="129"/>
        <v>0</v>
      </c>
      <c r="S280" s="545">
        <f t="shared" si="130"/>
        <v>0</v>
      </c>
      <c r="T280" s="545">
        <f t="shared" si="131"/>
        <v>0</v>
      </c>
      <c r="U280" s="545">
        <f t="shared" si="132"/>
        <v>0</v>
      </c>
      <c r="V280" s="545">
        <f t="shared" si="114"/>
        <v>0</v>
      </c>
    </row>
    <row r="281" spans="1:22" s="546" customFormat="1" ht="21" customHeight="1">
      <c r="A281" s="887"/>
      <c r="B281" s="894"/>
      <c r="C281" s="907"/>
      <c r="D281" s="703">
        <v>3788800</v>
      </c>
      <c r="E281" s="703">
        <f>I281</f>
        <v>3764000</v>
      </c>
      <c r="F281" s="905"/>
      <c r="G281" s="703">
        <f t="shared" si="127"/>
        <v>-24800</v>
      </c>
      <c r="H281" s="999" t="s">
        <v>604</v>
      </c>
      <c r="I281" s="842">
        <f>SUM(I282:I282)</f>
        <v>3764000</v>
      </c>
      <c r="J281" s="608"/>
      <c r="K281" s="608"/>
      <c r="L281" s="608"/>
      <c r="M281" s="856"/>
      <c r="N281" s="1038">
        <f>I281</f>
        <v>3764000</v>
      </c>
      <c r="P281" s="545">
        <f t="shared" si="133"/>
        <v>0</v>
      </c>
      <c r="Q281" s="545">
        <f t="shared" si="128"/>
        <v>0</v>
      </c>
      <c r="R281" s="545">
        <f t="shared" si="129"/>
        <v>0</v>
      </c>
      <c r="S281" s="545">
        <f t="shared" si="130"/>
        <v>0</v>
      </c>
      <c r="T281" s="545">
        <f t="shared" si="131"/>
        <v>0</v>
      </c>
      <c r="U281" s="545">
        <f t="shared" si="132"/>
        <v>0</v>
      </c>
      <c r="V281" s="545">
        <f t="shared" si="114"/>
        <v>0</v>
      </c>
    </row>
    <row r="282" spans="1:22" s="546" customFormat="1" ht="18" customHeight="1">
      <c r="A282" s="887"/>
      <c r="B282" s="894"/>
      <c r="C282" s="907"/>
      <c r="D282" s="703"/>
      <c r="E282" s="703"/>
      <c r="F282" s="905"/>
      <c r="G282" s="703"/>
      <c r="H282" s="997" t="s">
        <v>605</v>
      </c>
      <c r="I282" s="704">
        <v>3764000</v>
      </c>
      <c r="J282" s="705">
        <v>1</v>
      </c>
      <c r="K282" s="614" t="s">
        <v>464</v>
      </c>
      <c r="L282" s="705" t="s">
        <v>606</v>
      </c>
      <c r="M282" s="837" t="s">
        <v>33</v>
      </c>
      <c r="N282" s="776">
        <f>I282*J285</f>
        <v>3764000</v>
      </c>
      <c r="P282" s="545">
        <f t="shared" si="133"/>
        <v>3764000</v>
      </c>
      <c r="Q282" s="545">
        <f t="shared" si="128"/>
        <v>0</v>
      </c>
      <c r="R282" s="545">
        <f t="shared" si="129"/>
        <v>0</v>
      </c>
      <c r="S282" s="545">
        <f t="shared" si="130"/>
        <v>0</v>
      </c>
      <c r="T282" s="545">
        <f t="shared" si="131"/>
        <v>0</v>
      </c>
      <c r="U282" s="545">
        <f t="shared" si="132"/>
        <v>0</v>
      </c>
      <c r="V282" s="545">
        <f t="shared" si="114"/>
        <v>0</v>
      </c>
    </row>
    <row r="283" spans="1:22" s="546" customFormat="1">
      <c r="A283" s="887"/>
      <c r="B283" s="894"/>
      <c r="C283" s="907"/>
      <c r="D283" s="703">
        <v>2992000</v>
      </c>
      <c r="E283" s="703">
        <f>I283</f>
        <v>3171000</v>
      </c>
      <c r="F283" s="905">
        <f>I283</f>
        <v>3171000</v>
      </c>
      <c r="G283" s="703">
        <f t="shared" si="127"/>
        <v>179000</v>
      </c>
      <c r="H283" s="1040" t="s">
        <v>607</v>
      </c>
      <c r="I283" s="842">
        <f>SUM(I284:I285)</f>
        <v>3171000</v>
      </c>
      <c r="J283" s="608"/>
      <c r="K283" s="608"/>
      <c r="L283" s="608"/>
      <c r="M283" s="856"/>
      <c r="N283" s="1038">
        <f>I283</f>
        <v>3171000</v>
      </c>
      <c r="P283" s="545">
        <f t="shared" si="133"/>
        <v>0</v>
      </c>
      <c r="Q283" s="545">
        <f t="shared" si="128"/>
        <v>0</v>
      </c>
      <c r="R283" s="545">
        <f t="shared" si="129"/>
        <v>0</v>
      </c>
      <c r="S283" s="545">
        <f t="shared" si="130"/>
        <v>0</v>
      </c>
      <c r="T283" s="545">
        <f t="shared" si="131"/>
        <v>0</v>
      </c>
      <c r="U283" s="545">
        <f t="shared" si="132"/>
        <v>0</v>
      </c>
      <c r="V283" s="545">
        <f t="shared" si="114"/>
        <v>0</v>
      </c>
    </row>
    <row r="284" spans="1:22" s="546" customFormat="1" ht="28.5">
      <c r="A284" s="887"/>
      <c r="B284" s="894"/>
      <c r="C284" s="907"/>
      <c r="D284" s="703"/>
      <c r="E284" s="703"/>
      <c r="F284" s="905"/>
      <c r="G284" s="703"/>
      <c r="H284" s="833" t="s">
        <v>654</v>
      </c>
      <c r="I284" s="704">
        <v>600000</v>
      </c>
      <c r="J284" s="603">
        <v>1</v>
      </c>
      <c r="K284" s="604" t="s">
        <v>464</v>
      </c>
      <c r="L284" s="705" t="s">
        <v>695</v>
      </c>
      <c r="M284" s="1125" t="s">
        <v>126</v>
      </c>
      <c r="N284" s="703">
        <v>600000</v>
      </c>
      <c r="P284" s="545">
        <f t="shared" si="133"/>
        <v>0</v>
      </c>
      <c r="Q284" s="545">
        <f t="shared" si="128"/>
        <v>600000</v>
      </c>
      <c r="R284" s="545">
        <f t="shared" si="129"/>
        <v>0</v>
      </c>
      <c r="S284" s="545">
        <f t="shared" si="130"/>
        <v>0</v>
      </c>
      <c r="T284" s="545">
        <f t="shared" si="131"/>
        <v>0</v>
      </c>
      <c r="U284" s="545">
        <f t="shared" si="132"/>
        <v>0</v>
      </c>
      <c r="V284" s="545">
        <f t="shared" si="114"/>
        <v>0</v>
      </c>
    </row>
    <row r="285" spans="1:22" s="546" customFormat="1" ht="18" customHeight="1">
      <c r="A285" s="887"/>
      <c r="B285" s="894"/>
      <c r="C285" s="907"/>
      <c r="D285" s="703"/>
      <c r="E285" s="703"/>
      <c r="F285" s="905"/>
      <c r="G285" s="703"/>
      <c r="H285" s="1124" t="s">
        <v>654</v>
      </c>
      <c r="I285" s="695">
        <v>2571000</v>
      </c>
      <c r="J285" s="613">
        <v>1</v>
      </c>
      <c r="K285" s="614" t="s">
        <v>464</v>
      </c>
      <c r="L285" s="696" t="s">
        <v>616</v>
      </c>
      <c r="M285" s="858" t="s">
        <v>33</v>
      </c>
      <c r="N285" s="776">
        <f>I285*J285</f>
        <v>2571000</v>
      </c>
      <c r="P285" s="545">
        <f t="shared" si="133"/>
        <v>2571000</v>
      </c>
      <c r="Q285" s="545">
        <f t="shared" si="128"/>
        <v>0</v>
      </c>
      <c r="R285" s="545">
        <f t="shared" si="129"/>
        <v>0</v>
      </c>
      <c r="S285" s="545">
        <f t="shared" si="130"/>
        <v>0</v>
      </c>
      <c r="T285" s="545">
        <f t="shared" si="131"/>
        <v>0</v>
      </c>
      <c r="U285" s="545">
        <f t="shared" si="132"/>
        <v>0</v>
      </c>
      <c r="V285" s="545">
        <f t="shared" si="114"/>
        <v>0</v>
      </c>
    </row>
    <row r="286" spans="1:22" s="546" customFormat="1">
      <c r="A286" s="887"/>
      <c r="B286" s="894"/>
      <c r="C286" s="907"/>
      <c r="D286" s="703">
        <v>1800000</v>
      </c>
      <c r="E286" s="703">
        <f>I286</f>
        <v>3600000</v>
      </c>
      <c r="F286" s="905"/>
      <c r="G286" s="703">
        <f t="shared" si="127"/>
        <v>1800000</v>
      </c>
      <c r="H286" s="1001" t="s">
        <v>469</v>
      </c>
      <c r="I286" s="799">
        <f>N286</f>
        <v>3600000</v>
      </c>
      <c r="J286" s="599"/>
      <c r="K286" s="600"/>
      <c r="L286" s="662"/>
      <c r="M286" s="1041"/>
      <c r="N286" s="1038">
        <f>SUM(N287:N288)</f>
        <v>3600000</v>
      </c>
      <c r="P286" s="545">
        <f t="shared" si="133"/>
        <v>0</v>
      </c>
      <c r="Q286" s="545">
        <f t="shared" si="128"/>
        <v>0</v>
      </c>
      <c r="R286" s="545">
        <f t="shared" si="129"/>
        <v>0</v>
      </c>
      <c r="S286" s="545">
        <f t="shared" si="130"/>
        <v>0</v>
      </c>
      <c r="T286" s="545">
        <f t="shared" si="131"/>
        <v>0</v>
      </c>
      <c r="U286" s="545">
        <f t="shared" si="132"/>
        <v>0</v>
      </c>
      <c r="V286" s="545">
        <f t="shared" si="114"/>
        <v>0</v>
      </c>
    </row>
    <row r="287" spans="1:22" s="546" customFormat="1" ht="18" customHeight="1">
      <c r="A287" s="887"/>
      <c r="B287" s="894"/>
      <c r="C287" s="907"/>
      <c r="D287" s="703"/>
      <c r="E287" s="703"/>
      <c r="F287" s="905"/>
      <c r="G287" s="703"/>
      <c r="H287" s="998" t="s">
        <v>123</v>
      </c>
      <c r="I287" s="612">
        <v>270000</v>
      </c>
      <c r="J287" s="613">
        <v>12</v>
      </c>
      <c r="K287" s="614" t="s">
        <v>451</v>
      </c>
      <c r="L287" s="613" t="s">
        <v>702</v>
      </c>
      <c r="M287" s="858" t="s">
        <v>33</v>
      </c>
      <c r="N287" s="776">
        <f>I287*J287</f>
        <v>3240000</v>
      </c>
      <c r="P287" s="545">
        <f t="shared" si="133"/>
        <v>3240000</v>
      </c>
      <c r="Q287" s="545">
        <f t="shared" si="128"/>
        <v>0</v>
      </c>
      <c r="R287" s="545">
        <f t="shared" si="129"/>
        <v>0</v>
      </c>
      <c r="S287" s="545">
        <f t="shared" si="130"/>
        <v>0</v>
      </c>
      <c r="T287" s="545">
        <f t="shared" si="131"/>
        <v>0</v>
      </c>
      <c r="U287" s="545">
        <f t="shared" si="132"/>
        <v>0</v>
      </c>
      <c r="V287" s="545">
        <f t="shared" si="114"/>
        <v>0</v>
      </c>
    </row>
    <row r="288" spans="1:22" s="546" customFormat="1" ht="18" customHeight="1">
      <c r="A288" s="887"/>
      <c r="B288" s="894"/>
      <c r="C288" s="907"/>
      <c r="D288" s="703"/>
      <c r="E288" s="703"/>
      <c r="F288" s="905"/>
      <c r="G288" s="703"/>
      <c r="H288" s="998" t="s">
        <v>617</v>
      </c>
      <c r="I288" s="612">
        <v>30000</v>
      </c>
      <c r="J288" s="613">
        <v>12</v>
      </c>
      <c r="K288" s="614" t="s">
        <v>451</v>
      </c>
      <c r="L288" s="613" t="s">
        <v>703</v>
      </c>
      <c r="M288" s="858" t="s">
        <v>33</v>
      </c>
      <c r="N288" s="776">
        <f>I288*J288</f>
        <v>360000</v>
      </c>
      <c r="P288" s="545">
        <f t="shared" si="133"/>
        <v>360000</v>
      </c>
      <c r="Q288" s="545">
        <f t="shared" si="128"/>
        <v>0</v>
      </c>
      <c r="R288" s="545">
        <f t="shared" si="129"/>
        <v>0</v>
      </c>
      <c r="S288" s="545">
        <f t="shared" si="130"/>
        <v>0</v>
      </c>
      <c r="T288" s="545">
        <f t="shared" si="131"/>
        <v>0</v>
      </c>
      <c r="U288" s="545">
        <f t="shared" si="132"/>
        <v>0</v>
      </c>
      <c r="V288" s="545">
        <f t="shared" si="114"/>
        <v>0</v>
      </c>
    </row>
    <row r="289" spans="1:22" s="546" customFormat="1">
      <c r="A289" s="887"/>
      <c r="B289" s="894"/>
      <c r="C289" s="907"/>
      <c r="D289" s="703">
        <v>5600000</v>
      </c>
      <c r="E289" s="703">
        <f>I289</f>
        <v>5600000</v>
      </c>
      <c r="F289" s="905">
        <f>I289</f>
        <v>5600000</v>
      </c>
      <c r="G289" s="703">
        <f>E289-D289</f>
        <v>0</v>
      </c>
      <c r="H289" s="996" t="s">
        <v>583</v>
      </c>
      <c r="I289" s="842">
        <f>SUM(N290:N292)</f>
        <v>5600000</v>
      </c>
      <c r="J289" s="608"/>
      <c r="K289" s="609"/>
      <c r="L289" s="845"/>
      <c r="M289" s="676"/>
      <c r="N289" s="1038">
        <f>I289</f>
        <v>5600000</v>
      </c>
      <c r="P289" s="545">
        <f t="shared" si="133"/>
        <v>0</v>
      </c>
      <c r="Q289" s="545">
        <f t="shared" si="128"/>
        <v>0</v>
      </c>
      <c r="R289" s="545">
        <f t="shared" si="129"/>
        <v>0</v>
      </c>
      <c r="S289" s="545">
        <f t="shared" si="130"/>
        <v>0</v>
      </c>
      <c r="T289" s="545">
        <f t="shared" si="131"/>
        <v>0</v>
      </c>
      <c r="U289" s="545">
        <f t="shared" si="132"/>
        <v>0</v>
      </c>
      <c r="V289" s="545">
        <f t="shared" si="114"/>
        <v>0</v>
      </c>
    </row>
    <row r="290" spans="1:22" s="546" customFormat="1" ht="18" customHeight="1">
      <c r="A290" s="887"/>
      <c r="B290" s="894"/>
      <c r="C290" s="907"/>
      <c r="D290" s="703"/>
      <c r="E290" s="703"/>
      <c r="F290" s="905"/>
      <c r="G290" s="703"/>
      <c r="H290" s="997" t="s">
        <v>678</v>
      </c>
      <c r="I290" s="704">
        <v>800000</v>
      </c>
      <c r="J290" s="705">
        <v>1</v>
      </c>
      <c r="K290" s="600" t="s">
        <v>577</v>
      </c>
      <c r="L290" s="860" t="s">
        <v>679</v>
      </c>
      <c r="M290" s="848" t="s">
        <v>209</v>
      </c>
      <c r="N290" s="773">
        <f>I290*J290</f>
        <v>800000</v>
      </c>
      <c r="P290" s="545">
        <f t="shared" si="133"/>
        <v>0</v>
      </c>
      <c r="Q290" s="545">
        <f t="shared" si="128"/>
        <v>0</v>
      </c>
      <c r="R290" s="545">
        <f t="shared" si="129"/>
        <v>0</v>
      </c>
      <c r="S290" s="545">
        <f t="shared" si="130"/>
        <v>0</v>
      </c>
      <c r="T290" s="545">
        <f t="shared" si="131"/>
        <v>800000</v>
      </c>
      <c r="U290" s="545">
        <f t="shared" si="132"/>
        <v>0</v>
      </c>
      <c r="V290" s="545">
        <f t="shared" si="114"/>
        <v>0</v>
      </c>
    </row>
    <row r="291" spans="1:22" s="546" customFormat="1" ht="18" customHeight="1">
      <c r="A291" s="887"/>
      <c r="B291" s="894"/>
      <c r="C291" s="907"/>
      <c r="D291" s="703"/>
      <c r="E291" s="703"/>
      <c r="F291" s="905"/>
      <c r="G291" s="703"/>
      <c r="H291" s="995" t="s">
        <v>680</v>
      </c>
      <c r="I291" s="602">
        <v>800000</v>
      </c>
      <c r="J291" s="603">
        <v>2</v>
      </c>
      <c r="K291" s="836" t="s">
        <v>577</v>
      </c>
      <c r="L291" s="1033" t="s">
        <v>681</v>
      </c>
      <c r="M291" s="837" t="s">
        <v>209</v>
      </c>
      <c r="N291" s="773">
        <f t="shared" ref="N291:N294" si="134">I291*J291</f>
        <v>1600000</v>
      </c>
      <c r="P291" s="545">
        <f t="shared" si="133"/>
        <v>0</v>
      </c>
      <c r="Q291" s="545">
        <f t="shared" si="128"/>
        <v>0</v>
      </c>
      <c r="R291" s="545">
        <f t="shared" si="129"/>
        <v>0</v>
      </c>
      <c r="S291" s="545">
        <f t="shared" si="130"/>
        <v>0</v>
      </c>
      <c r="T291" s="545">
        <f t="shared" si="131"/>
        <v>1600000</v>
      </c>
      <c r="U291" s="545">
        <f t="shared" si="132"/>
        <v>0</v>
      </c>
      <c r="V291" s="545">
        <f t="shared" si="114"/>
        <v>0</v>
      </c>
    </row>
    <row r="292" spans="1:22" s="546" customFormat="1" ht="18" customHeight="1">
      <c r="A292" s="887"/>
      <c r="B292" s="894"/>
      <c r="C292" s="907"/>
      <c r="D292" s="703"/>
      <c r="E292" s="703"/>
      <c r="F292" s="905"/>
      <c r="G292" s="703"/>
      <c r="H292" s="838" t="s">
        <v>682</v>
      </c>
      <c r="I292" s="612">
        <v>800000</v>
      </c>
      <c r="J292" s="613">
        <v>4</v>
      </c>
      <c r="K292" s="614" t="s">
        <v>577</v>
      </c>
      <c r="L292" s="1042" t="s">
        <v>683</v>
      </c>
      <c r="M292" s="858" t="s">
        <v>457</v>
      </c>
      <c r="N292" s="776">
        <f t="shared" si="134"/>
        <v>3200000</v>
      </c>
      <c r="P292" s="545">
        <f t="shared" si="133"/>
        <v>0</v>
      </c>
      <c r="Q292" s="545">
        <f t="shared" si="128"/>
        <v>0</v>
      </c>
      <c r="R292" s="545">
        <f t="shared" si="129"/>
        <v>3200000</v>
      </c>
      <c r="S292" s="545">
        <f t="shared" si="130"/>
        <v>0</v>
      </c>
      <c r="T292" s="545">
        <f t="shared" si="131"/>
        <v>0</v>
      </c>
      <c r="U292" s="545">
        <f t="shared" si="132"/>
        <v>0</v>
      </c>
      <c r="V292" s="545">
        <f t="shared" si="114"/>
        <v>0</v>
      </c>
    </row>
    <row r="293" spans="1:22" s="546" customFormat="1" ht="42.75">
      <c r="A293" s="887"/>
      <c r="B293" s="894"/>
      <c r="C293" s="907"/>
      <c r="D293" s="703">
        <v>800000</v>
      </c>
      <c r="E293" s="703">
        <v>800000</v>
      </c>
      <c r="F293" s="905"/>
      <c r="G293" s="703">
        <f>E293-D293</f>
        <v>0</v>
      </c>
      <c r="H293" s="1137" t="s">
        <v>676</v>
      </c>
      <c r="I293" s="852">
        <v>800000</v>
      </c>
      <c r="J293" s="619">
        <v>1</v>
      </c>
      <c r="K293" s="620" t="s">
        <v>464</v>
      </c>
      <c r="L293" s="1047" t="s">
        <v>677</v>
      </c>
      <c r="M293" s="685" t="s">
        <v>126</v>
      </c>
      <c r="N293" s="1048">
        <f t="shared" ref="N293" si="135">I293*J293</f>
        <v>800000</v>
      </c>
      <c r="P293" s="545">
        <f t="shared" si="133"/>
        <v>0</v>
      </c>
      <c r="Q293" s="545">
        <f t="shared" si="128"/>
        <v>800000</v>
      </c>
      <c r="R293" s="545">
        <f t="shared" si="129"/>
        <v>0</v>
      </c>
      <c r="S293" s="545">
        <f t="shared" si="130"/>
        <v>0</v>
      </c>
      <c r="T293" s="545">
        <f t="shared" si="131"/>
        <v>0</v>
      </c>
      <c r="U293" s="545">
        <f t="shared" si="132"/>
        <v>0</v>
      </c>
      <c r="V293" s="545">
        <f t="shared" si="114"/>
        <v>0</v>
      </c>
    </row>
    <row r="294" spans="1:22" s="546" customFormat="1">
      <c r="A294" s="887"/>
      <c r="B294" s="894"/>
      <c r="C294" s="907"/>
      <c r="D294" s="703">
        <v>2000000</v>
      </c>
      <c r="E294" s="703">
        <f>I294</f>
        <v>2000000</v>
      </c>
      <c r="F294" s="905"/>
      <c r="G294" s="703">
        <f t="shared" si="127"/>
        <v>0</v>
      </c>
      <c r="H294" s="1029" t="s">
        <v>608</v>
      </c>
      <c r="I294" s="1043">
        <v>2000000</v>
      </c>
      <c r="J294" s="681">
        <v>1</v>
      </c>
      <c r="K294" s="626" t="s">
        <v>464</v>
      </c>
      <c r="L294" s="1044" t="s">
        <v>608</v>
      </c>
      <c r="M294" s="682" t="s">
        <v>33</v>
      </c>
      <c r="N294" s="1045">
        <f t="shared" si="134"/>
        <v>2000000</v>
      </c>
      <c r="P294" s="545">
        <f t="shared" si="133"/>
        <v>2000000</v>
      </c>
      <c r="Q294" s="545">
        <f t="shared" si="128"/>
        <v>0</v>
      </c>
      <c r="R294" s="545">
        <f t="shared" si="129"/>
        <v>0</v>
      </c>
      <c r="S294" s="545">
        <f t="shared" si="130"/>
        <v>0</v>
      </c>
      <c r="T294" s="545">
        <f t="shared" si="131"/>
        <v>0</v>
      </c>
      <c r="U294" s="545">
        <f t="shared" si="132"/>
        <v>0</v>
      </c>
      <c r="V294" s="545">
        <f t="shared" si="114"/>
        <v>0</v>
      </c>
    </row>
    <row r="295" spans="1:22" s="546" customFormat="1">
      <c r="A295" s="887"/>
      <c r="B295" s="894"/>
      <c r="C295" s="907"/>
      <c r="D295" s="703">
        <v>3000000</v>
      </c>
      <c r="E295" s="703">
        <f>I295</f>
        <v>3000000</v>
      </c>
      <c r="F295" s="905">
        <f>I295</f>
        <v>3000000</v>
      </c>
      <c r="G295" s="703">
        <f t="shared" si="127"/>
        <v>0</v>
      </c>
      <c r="H295" s="996" t="s">
        <v>470</v>
      </c>
      <c r="I295" s="842">
        <f>SUM(I296:I297)</f>
        <v>3000000</v>
      </c>
      <c r="J295" s="845"/>
      <c r="K295" s="609"/>
      <c r="L295" s="843"/>
      <c r="M295" s="676"/>
      <c r="N295" s="1038">
        <f>I295</f>
        <v>3000000</v>
      </c>
      <c r="P295" s="545">
        <f t="shared" si="133"/>
        <v>0</v>
      </c>
      <c r="Q295" s="545">
        <f t="shared" si="128"/>
        <v>0</v>
      </c>
      <c r="R295" s="545">
        <f t="shared" si="129"/>
        <v>0</v>
      </c>
      <c r="S295" s="545">
        <f t="shared" si="130"/>
        <v>0</v>
      </c>
      <c r="T295" s="545">
        <f t="shared" si="131"/>
        <v>0</v>
      </c>
      <c r="U295" s="545">
        <f t="shared" si="132"/>
        <v>0</v>
      </c>
      <c r="V295" s="545">
        <f t="shared" si="114"/>
        <v>0</v>
      </c>
    </row>
    <row r="296" spans="1:22" s="546" customFormat="1" ht="20.25" customHeight="1">
      <c r="A296" s="887"/>
      <c r="B296" s="894"/>
      <c r="C296" s="907"/>
      <c r="D296" s="703"/>
      <c r="E296" s="703"/>
      <c r="F296" s="905"/>
      <c r="G296" s="703"/>
      <c r="H296" s="1002" t="s">
        <v>471</v>
      </c>
      <c r="I296" s="813">
        <v>2100000</v>
      </c>
      <c r="J296" s="662">
        <v>1</v>
      </c>
      <c r="K296" s="600" t="s">
        <v>464</v>
      </c>
      <c r="L296" s="1300" t="s">
        <v>704</v>
      </c>
      <c r="M296" s="848" t="s">
        <v>126</v>
      </c>
      <c r="N296" s="773">
        <f>I296*J296</f>
        <v>2100000</v>
      </c>
      <c r="P296" s="545">
        <f t="shared" si="133"/>
        <v>0</v>
      </c>
      <c r="Q296" s="545">
        <f t="shared" si="128"/>
        <v>2100000</v>
      </c>
      <c r="R296" s="545">
        <f t="shared" si="129"/>
        <v>0</v>
      </c>
      <c r="S296" s="545">
        <f t="shared" si="130"/>
        <v>0</v>
      </c>
      <c r="T296" s="545">
        <f t="shared" si="131"/>
        <v>0</v>
      </c>
      <c r="U296" s="545">
        <f t="shared" si="132"/>
        <v>0</v>
      </c>
      <c r="V296" s="545">
        <f t="shared" si="114"/>
        <v>0</v>
      </c>
    </row>
    <row r="297" spans="1:22" s="546" customFormat="1" ht="23.25" customHeight="1">
      <c r="A297" s="887"/>
      <c r="B297" s="894"/>
      <c r="C297" s="907"/>
      <c r="D297" s="703"/>
      <c r="E297" s="703"/>
      <c r="F297" s="905">
        <f>I297</f>
        <v>900000</v>
      </c>
      <c r="G297" s="703"/>
      <c r="H297" s="1000" t="s">
        <v>471</v>
      </c>
      <c r="I297" s="849">
        <v>900000</v>
      </c>
      <c r="J297" s="846">
        <v>1</v>
      </c>
      <c r="K297" s="697" t="s">
        <v>464</v>
      </c>
      <c r="L297" s="1301"/>
      <c r="M297" s="844" t="s">
        <v>457</v>
      </c>
      <c r="N297" s="776">
        <f>I297*J297</f>
        <v>900000</v>
      </c>
      <c r="P297" s="545">
        <f t="shared" si="133"/>
        <v>0</v>
      </c>
      <c r="Q297" s="545">
        <f t="shared" si="128"/>
        <v>0</v>
      </c>
      <c r="R297" s="545">
        <f t="shared" si="129"/>
        <v>900000</v>
      </c>
      <c r="S297" s="545">
        <f t="shared" si="130"/>
        <v>0</v>
      </c>
      <c r="T297" s="545">
        <f t="shared" si="131"/>
        <v>0</v>
      </c>
      <c r="U297" s="545">
        <f t="shared" si="132"/>
        <v>0</v>
      </c>
      <c r="V297" s="545">
        <f t="shared" si="114"/>
        <v>0</v>
      </c>
    </row>
    <row r="298" spans="1:22" s="546" customFormat="1" ht="85.5">
      <c r="A298" s="887"/>
      <c r="B298" s="894"/>
      <c r="C298" s="907"/>
      <c r="D298" s="703">
        <v>10500000</v>
      </c>
      <c r="E298" s="703">
        <f>I298</f>
        <v>9000000</v>
      </c>
      <c r="F298" s="905"/>
      <c r="G298" s="703">
        <f t="shared" si="127"/>
        <v>-1500000</v>
      </c>
      <c r="H298" s="1003" t="s">
        <v>202</v>
      </c>
      <c r="I298" s="850">
        <v>9000000</v>
      </c>
      <c r="J298" s="846">
        <v>1</v>
      </c>
      <c r="K298" s="697" t="s">
        <v>464</v>
      </c>
      <c r="L298" s="1046" t="s">
        <v>705</v>
      </c>
      <c r="M298" s="844" t="s">
        <v>457</v>
      </c>
      <c r="N298" s="887">
        <f>I298*J298</f>
        <v>9000000</v>
      </c>
      <c r="P298" s="545">
        <f t="shared" si="133"/>
        <v>0</v>
      </c>
      <c r="Q298" s="545">
        <f t="shared" si="128"/>
        <v>0</v>
      </c>
      <c r="R298" s="545">
        <f t="shared" si="129"/>
        <v>9000000</v>
      </c>
      <c r="S298" s="545">
        <f t="shared" si="130"/>
        <v>0</v>
      </c>
      <c r="T298" s="545">
        <f t="shared" si="131"/>
        <v>0</v>
      </c>
      <c r="U298" s="545">
        <f t="shared" si="132"/>
        <v>0</v>
      </c>
      <c r="V298" s="545">
        <f t="shared" ref="V298:V314" si="136">IF(OR($M298="잡지출"),$N298,0)</f>
        <v>0</v>
      </c>
    </row>
    <row r="299" spans="1:22" s="546" customFormat="1" ht="114">
      <c r="A299" s="887"/>
      <c r="B299" s="894"/>
      <c r="C299" s="907"/>
      <c r="D299" s="703">
        <v>5000000</v>
      </c>
      <c r="E299" s="703">
        <f>I299</f>
        <v>5000000</v>
      </c>
      <c r="F299" s="905"/>
      <c r="G299" s="703">
        <f t="shared" si="127"/>
        <v>0</v>
      </c>
      <c r="H299" s="1004" t="s">
        <v>401</v>
      </c>
      <c r="I299" s="994">
        <v>5000000</v>
      </c>
      <c r="J299" s="652">
        <v>1</v>
      </c>
      <c r="K299" s="620" t="s">
        <v>464</v>
      </c>
      <c r="L299" s="1047" t="s">
        <v>706</v>
      </c>
      <c r="M299" s="685" t="s">
        <v>126</v>
      </c>
      <c r="N299" s="1048">
        <f>I299*J299</f>
        <v>5000000</v>
      </c>
      <c r="P299" s="545">
        <f t="shared" si="133"/>
        <v>0</v>
      </c>
      <c r="Q299" s="545">
        <f t="shared" si="128"/>
        <v>5000000</v>
      </c>
      <c r="R299" s="545">
        <f t="shared" si="129"/>
        <v>0</v>
      </c>
      <c r="S299" s="545">
        <f t="shared" si="130"/>
        <v>0</v>
      </c>
      <c r="T299" s="545">
        <f t="shared" si="131"/>
        <v>0</v>
      </c>
      <c r="U299" s="545">
        <f t="shared" si="132"/>
        <v>0</v>
      </c>
      <c r="V299" s="545">
        <f t="shared" si="136"/>
        <v>0</v>
      </c>
    </row>
    <row r="300" spans="1:22" s="546" customFormat="1">
      <c r="A300" s="887"/>
      <c r="B300" s="894"/>
      <c r="C300" s="907"/>
      <c r="D300" s="703">
        <v>52000000</v>
      </c>
      <c r="E300" s="703">
        <f>I300</f>
        <v>52506030</v>
      </c>
      <c r="F300" s="905"/>
      <c r="G300" s="703">
        <f t="shared" si="127"/>
        <v>506030</v>
      </c>
      <c r="H300" s="996" t="s">
        <v>472</v>
      </c>
      <c r="I300" s="842">
        <f>I301</f>
        <v>52506030</v>
      </c>
      <c r="J300" s="608"/>
      <c r="K300" s="609"/>
      <c r="L300" s="845"/>
      <c r="M300" s="676"/>
      <c r="N300" s="1038">
        <f>I300</f>
        <v>52506030</v>
      </c>
      <c r="P300" s="545">
        <f t="shared" si="133"/>
        <v>0</v>
      </c>
      <c r="Q300" s="545">
        <f t="shared" si="128"/>
        <v>0</v>
      </c>
      <c r="R300" s="545">
        <f t="shared" si="129"/>
        <v>0</v>
      </c>
      <c r="S300" s="545">
        <f t="shared" si="130"/>
        <v>0</v>
      </c>
      <c r="T300" s="545">
        <f t="shared" si="131"/>
        <v>0</v>
      </c>
      <c r="U300" s="545">
        <f t="shared" si="132"/>
        <v>0</v>
      </c>
      <c r="V300" s="545">
        <f t="shared" si="136"/>
        <v>0</v>
      </c>
    </row>
    <row r="301" spans="1:22" s="546" customFormat="1" ht="128.25">
      <c r="A301" s="887"/>
      <c r="B301" s="894"/>
      <c r="C301" s="907"/>
      <c r="D301" s="703"/>
      <c r="E301" s="703"/>
      <c r="F301" s="905">
        <f>I301</f>
        <v>52506030</v>
      </c>
      <c r="G301" s="703"/>
      <c r="H301" s="997" t="s">
        <v>215</v>
      </c>
      <c r="I301" s="704">
        <v>52506030</v>
      </c>
      <c r="J301" s="705">
        <v>1</v>
      </c>
      <c r="K301" s="706" t="s">
        <v>464</v>
      </c>
      <c r="L301" s="1049" t="s">
        <v>707</v>
      </c>
      <c r="M301" s="851" t="s">
        <v>473</v>
      </c>
      <c r="N301" s="1048">
        <f>I301*J301</f>
        <v>52506030</v>
      </c>
      <c r="P301" s="545">
        <f t="shared" si="133"/>
        <v>0</v>
      </c>
      <c r="Q301" s="545">
        <f t="shared" si="128"/>
        <v>0</v>
      </c>
      <c r="R301" s="545">
        <f t="shared" si="129"/>
        <v>0</v>
      </c>
      <c r="S301" s="545">
        <f t="shared" si="130"/>
        <v>0</v>
      </c>
      <c r="T301" s="545">
        <f t="shared" si="131"/>
        <v>0</v>
      </c>
      <c r="U301" s="545">
        <f t="shared" si="132"/>
        <v>52506030</v>
      </c>
      <c r="V301" s="545">
        <f t="shared" si="136"/>
        <v>0</v>
      </c>
    </row>
    <row r="302" spans="1:22" s="546" customFormat="1" ht="99.75">
      <c r="A302" s="887"/>
      <c r="B302" s="894"/>
      <c r="C302" s="907"/>
      <c r="D302" s="703">
        <v>3220000</v>
      </c>
      <c r="E302" s="703">
        <f>I302</f>
        <v>3220000</v>
      </c>
      <c r="F302" s="905"/>
      <c r="G302" s="703">
        <f t="shared" si="127"/>
        <v>0</v>
      </c>
      <c r="H302" s="1004" t="s">
        <v>402</v>
      </c>
      <c r="I302" s="852">
        <v>3220000</v>
      </c>
      <c r="J302" s="619">
        <v>1</v>
      </c>
      <c r="K302" s="620" t="s">
        <v>464</v>
      </c>
      <c r="L302" s="1047" t="s">
        <v>708</v>
      </c>
      <c r="M302" s="685" t="s">
        <v>209</v>
      </c>
      <c r="N302" s="1048">
        <f>I302*J302</f>
        <v>3220000</v>
      </c>
      <c r="P302" s="545">
        <f t="shared" si="133"/>
        <v>0</v>
      </c>
      <c r="Q302" s="545">
        <f t="shared" si="128"/>
        <v>0</v>
      </c>
      <c r="R302" s="545">
        <f t="shared" si="129"/>
        <v>0</v>
      </c>
      <c r="S302" s="545">
        <f t="shared" si="130"/>
        <v>0</v>
      </c>
      <c r="T302" s="545">
        <f>IF($M302="비지정후원금",$N302,0)</f>
        <v>3220000</v>
      </c>
      <c r="U302" s="545">
        <f t="shared" si="132"/>
        <v>0</v>
      </c>
      <c r="V302" s="545">
        <f t="shared" si="136"/>
        <v>0</v>
      </c>
    </row>
    <row r="303" spans="1:22" s="546" customFormat="1" ht="34.5" customHeight="1">
      <c r="A303" s="887"/>
      <c r="B303" s="894"/>
      <c r="C303" s="907"/>
      <c r="D303" s="703">
        <v>200000</v>
      </c>
      <c r="E303" s="703">
        <f t="shared" ref="E303:E308" si="137">I303</f>
        <v>200000</v>
      </c>
      <c r="F303" s="905"/>
      <c r="G303" s="703">
        <f t="shared" si="127"/>
        <v>0</v>
      </c>
      <c r="H303" s="1004" t="s">
        <v>216</v>
      </c>
      <c r="I303" s="852">
        <v>200000</v>
      </c>
      <c r="J303" s="619">
        <v>1</v>
      </c>
      <c r="K303" s="620" t="s">
        <v>464</v>
      </c>
      <c r="L303" s="1047" t="s">
        <v>709</v>
      </c>
      <c r="M303" s="685" t="s">
        <v>209</v>
      </c>
      <c r="N303" s="1048">
        <f>I303*J303</f>
        <v>200000</v>
      </c>
      <c r="P303" s="545">
        <f t="shared" si="133"/>
        <v>0</v>
      </c>
      <c r="Q303" s="545">
        <f t="shared" si="128"/>
        <v>0</v>
      </c>
      <c r="R303" s="545">
        <f t="shared" si="129"/>
        <v>0</v>
      </c>
      <c r="S303" s="545">
        <f t="shared" si="130"/>
        <v>0</v>
      </c>
      <c r="T303" s="545">
        <f t="shared" si="131"/>
        <v>200000</v>
      </c>
      <c r="U303" s="545">
        <f t="shared" si="132"/>
        <v>0</v>
      </c>
      <c r="V303" s="545">
        <f t="shared" si="136"/>
        <v>0</v>
      </c>
    </row>
    <row r="304" spans="1:22" s="546" customFormat="1" ht="85.5">
      <c r="A304" s="887"/>
      <c r="B304" s="894"/>
      <c r="C304" s="907"/>
      <c r="D304" s="703">
        <v>200000</v>
      </c>
      <c r="E304" s="703">
        <f t="shared" si="137"/>
        <v>200000</v>
      </c>
      <c r="F304" s="905"/>
      <c r="G304" s="703">
        <f t="shared" si="127"/>
        <v>0</v>
      </c>
      <c r="H304" s="1004" t="s">
        <v>655</v>
      </c>
      <c r="I304" s="852">
        <v>200000</v>
      </c>
      <c r="J304" s="619">
        <v>1</v>
      </c>
      <c r="K304" s="620" t="s">
        <v>464</v>
      </c>
      <c r="L304" s="1047" t="s">
        <v>657</v>
      </c>
      <c r="M304" s="685" t="s">
        <v>209</v>
      </c>
      <c r="N304" s="1048">
        <f>I304*J304</f>
        <v>200000</v>
      </c>
      <c r="P304" s="545">
        <f t="shared" si="133"/>
        <v>0</v>
      </c>
      <c r="Q304" s="545">
        <f t="shared" si="128"/>
        <v>0</v>
      </c>
      <c r="R304" s="545">
        <f t="shared" si="129"/>
        <v>0</v>
      </c>
      <c r="S304" s="545">
        <f t="shared" si="130"/>
        <v>0</v>
      </c>
      <c r="T304" s="545">
        <f t="shared" si="131"/>
        <v>200000</v>
      </c>
      <c r="U304" s="545">
        <f t="shared" si="132"/>
        <v>0</v>
      </c>
      <c r="V304" s="545">
        <f t="shared" si="136"/>
        <v>0</v>
      </c>
    </row>
    <row r="305" spans="1:23" s="546" customFormat="1" ht="34.5" customHeight="1">
      <c r="A305" s="887"/>
      <c r="B305" s="894"/>
      <c r="C305" s="907"/>
      <c r="D305" s="703">
        <v>200000</v>
      </c>
      <c r="E305" s="703">
        <f t="shared" si="137"/>
        <v>200000</v>
      </c>
      <c r="F305" s="905"/>
      <c r="G305" s="703">
        <f t="shared" si="127"/>
        <v>0</v>
      </c>
      <c r="H305" s="1004" t="s">
        <v>656</v>
      </c>
      <c r="I305" s="852">
        <v>200000</v>
      </c>
      <c r="J305" s="619">
        <v>1</v>
      </c>
      <c r="K305" s="620" t="s">
        <v>464</v>
      </c>
      <c r="L305" s="1047" t="s">
        <v>658</v>
      </c>
      <c r="M305" s="685" t="s">
        <v>126</v>
      </c>
      <c r="N305" s="1048">
        <f>I305*J305</f>
        <v>200000</v>
      </c>
      <c r="P305" s="545">
        <f t="shared" si="133"/>
        <v>0</v>
      </c>
      <c r="Q305" s="545">
        <f t="shared" si="128"/>
        <v>200000</v>
      </c>
      <c r="R305" s="545">
        <f t="shared" si="129"/>
        <v>0</v>
      </c>
      <c r="S305" s="545">
        <f t="shared" si="130"/>
        <v>0</v>
      </c>
      <c r="T305" s="545">
        <f t="shared" si="131"/>
        <v>0</v>
      </c>
      <c r="U305" s="545">
        <f t="shared" si="132"/>
        <v>0</v>
      </c>
      <c r="V305" s="545">
        <f t="shared" si="136"/>
        <v>0</v>
      </c>
    </row>
    <row r="306" spans="1:23" s="546" customFormat="1" ht="28.5">
      <c r="A306" s="887"/>
      <c r="B306" s="894"/>
      <c r="C306" s="907"/>
      <c r="D306" s="703">
        <v>100000</v>
      </c>
      <c r="E306" s="703">
        <f t="shared" si="137"/>
        <v>200000</v>
      </c>
      <c r="F306" s="905">
        <f>I306</f>
        <v>200000</v>
      </c>
      <c r="G306" s="703">
        <f t="shared" si="127"/>
        <v>100000</v>
      </c>
      <c r="H306" s="1004" t="s">
        <v>584</v>
      </c>
      <c r="I306" s="852">
        <v>200000</v>
      </c>
      <c r="J306" s="619">
        <v>1</v>
      </c>
      <c r="K306" s="620" t="s">
        <v>464</v>
      </c>
      <c r="L306" s="1047" t="s">
        <v>660</v>
      </c>
      <c r="M306" s="685" t="s">
        <v>209</v>
      </c>
      <c r="N306" s="1048">
        <f t="shared" ref="N306:N307" si="138">I306*J306</f>
        <v>200000</v>
      </c>
      <c r="P306" s="545">
        <f t="shared" si="133"/>
        <v>0</v>
      </c>
      <c r="Q306" s="545">
        <f t="shared" si="128"/>
        <v>0</v>
      </c>
      <c r="R306" s="545">
        <f t="shared" si="129"/>
        <v>0</v>
      </c>
      <c r="S306" s="545">
        <f t="shared" si="130"/>
        <v>0</v>
      </c>
      <c r="T306" s="545">
        <f t="shared" si="131"/>
        <v>200000</v>
      </c>
      <c r="U306" s="545">
        <f t="shared" si="132"/>
        <v>0</v>
      </c>
      <c r="V306" s="545">
        <f t="shared" si="136"/>
        <v>0</v>
      </c>
    </row>
    <row r="307" spans="1:23" s="546" customFormat="1" ht="28.5">
      <c r="A307" s="887"/>
      <c r="B307" s="894"/>
      <c r="C307" s="907"/>
      <c r="D307" s="703">
        <v>300000</v>
      </c>
      <c r="E307" s="703">
        <f t="shared" si="137"/>
        <v>300000</v>
      </c>
      <c r="F307" s="905"/>
      <c r="G307" s="703">
        <f t="shared" si="127"/>
        <v>0</v>
      </c>
      <c r="H307" s="1004" t="s">
        <v>203</v>
      </c>
      <c r="I307" s="852">
        <v>300000</v>
      </c>
      <c r="J307" s="619">
        <v>1</v>
      </c>
      <c r="K307" s="620" t="s">
        <v>464</v>
      </c>
      <c r="L307" s="1047" t="s">
        <v>585</v>
      </c>
      <c r="M307" s="685" t="s">
        <v>209</v>
      </c>
      <c r="N307" s="1048">
        <f t="shared" si="138"/>
        <v>300000</v>
      </c>
      <c r="P307" s="545">
        <f t="shared" si="133"/>
        <v>0</v>
      </c>
      <c r="Q307" s="545">
        <f t="shared" si="128"/>
        <v>0</v>
      </c>
      <c r="R307" s="545">
        <f t="shared" si="129"/>
        <v>0</v>
      </c>
      <c r="S307" s="545">
        <f t="shared" si="130"/>
        <v>0</v>
      </c>
      <c r="T307" s="545">
        <f t="shared" si="131"/>
        <v>300000</v>
      </c>
      <c r="U307" s="545">
        <f t="shared" si="132"/>
        <v>0</v>
      </c>
      <c r="V307" s="545">
        <f t="shared" si="136"/>
        <v>0</v>
      </c>
    </row>
    <row r="308" spans="1:23" s="546" customFormat="1">
      <c r="A308" s="887"/>
      <c r="B308" s="894"/>
      <c r="C308" s="907"/>
      <c r="D308" s="703">
        <v>10180000</v>
      </c>
      <c r="E308" s="703">
        <f t="shared" si="137"/>
        <v>8520000</v>
      </c>
      <c r="F308" s="905">
        <f>I308</f>
        <v>8520000</v>
      </c>
      <c r="G308" s="703">
        <f t="shared" si="127"/>
        <v>-1660000</v>
      </c>
      <c r="H308" s="996" t="s">
        <v>586</v>
      </c>
      <c r="I308" s="842">
        <f>SUM(N309:N312)</f>
        <v>8520000</v>
      </c>
      <c r="J308" s="608"/>
      <c r="K308" s="609"/>
      <c r="L308" s="845"/>
      <c r="M308" s="676"/>
      <c r="N308" s="1038">
        <f>I308</f>
        <v>8520000</v>
      </c>
      <c r="P308" s="545">
        <f t="shared" si="133"/>
        <v>0</v>
      </c>
      <c r="Q308" s="545">
        <f t="shared" si="128"/>
        <v>0</v>
      </c>
      <c r="R308" s="545">
        <f t="shared" si="129"/>
        <v>0</v>
      </c>
      <c r="S308" s="545">
        <f t="shared" si="130"/>
        <v>0</v>
      </c>
      <c r="T308" s="545">
        <f t="shared" si="131"/>
        <v>0</v>
      </c>
      <c r="U308" s="545">
        <f t="shared" si="132"/>
        <v>0</v>
      </c>
      <c r="V308" s="545">
        <f t="shared" si="136"/>
        <v>0</v>
      </c>
    </row>
    <row r="309" spans="1:23" s="546" customFormat="1" ht="36.75" customHeight="1">
      <c r="A309" s="887"/>
      <c r="B309" s="894"/>
      <c r="C309" s="907"/>
      <c r="D309" s="703"/>
      <c r="E309" s="703"/>
      <c r="F309" s="905">
        <f>I309</f>
        <v>1620000</v>
      </c>
      <c r="G309" s="703"/>
      <c r="H309" s="997" t="s">
        <v>662</v>
      </c>
      <c r="I309" s="704">
        <v>1620000</v>
      </c>
      <c r="J309" s="705">
        <v>1</v>
      </c>
      <c r="K309" s="706" t="s">
        <v>623</v>
      </c>
      <c r="L309" s="1049" t="s">
        <v>710</v>
      </c>
      <c r="M309" s="851" t="s">
        <v>448</v>
      </c>
      <c r="N309" s="788">
        <f>I309*J309</f>
        <v>1620000</v>
      </c>
      <c r="P309" s="545">
        <f t="shared" si="133"/>
        <v>1620000</v>
      </c>
      <c r="Q309" s="545">
        <f t="shared" si="128"/>
        <v>0</v>
      </c>
      <c r="R309" s="545">
        <f t="shared" si="129"/>
        <v>0</v>
      </c>
      <c r="S309" s="545">
        <f t="shared" si="130"/>
        <v>0</v>
      </c>
      <c r="T309" s="545">
        <f t="shared" si="131"/>
        <v>0</v>
      </c>
      <c r="U309" s="545">
        <f t="shared" si="132"/>
        <v>0</v>
      </c>
      <c r="V309" s="545">
        <f t="shared" si="136"/>
        <v>0</v>
      </c>
    </row>
    <row r="310" spans="1:23" s="546" customFormat="1" ht="19.5" customHeight="1">
      <c r="A310" s="887"/>
      <c r="B310" s="894"/>
      <c r="C310" s="907"/>
      <c r="D310" s="703"/>
      <c r="E310" s="703"/>
      <c r="F310" s="905"/>
      <c r="G310" s="703"/>
      <c r="H310" s="997" t="s">
        <v>663</v>
      </c>
      <c r="I310" s="704">
        <v>1600000</v>
      </c>
      <c r="J310" s="705">
        <v>1</v>
      </c>
      <c r="K310" s="706" t="s">
        <v>623</v>
      </c>
      <c r="L310" s="860" t="s">
        <v>664</v>
      </c>
      <c r="M310" s="851" t="s">
        <v>234</v>
      </c>
      <c r="N310" s="788">
        <f t="shared" ref="N310:N312" si="139">I310*J310</f>
        <v>1600000</v>
      </c>
      <c r="P310" s="545">
        <f t="shared" si="133"/>
        <v>0</v>
      </c>
      <c r="Q310" s="545">
        <f t="shared" si="128"/>
        <v>1600000</v>
      </c>
      <c r="R310" s="545">
        <f t="shared" si="129"/>
        <v>0</v>
      </c>
      <c r="S310" s="545">
        <f t="shared" si="130"/>
        <v>0</v>
      </c>
      <c r="T310" s="545">
        <f t="shared" si="131"/>
        <v>0</v>
      </c>
      <c r="U310" s="545">
        <f t="shared" si="132"/>
        <v>0</v>
      </c>
      <c r="V310" s="545">
        <f t="shared" si="136"/>
        <v>0</v>
      </c>
    </row>
    <row r="311" spans="1:23" s="546" customFormat="1" ht="19.5" customHeight="1">
      <c r="A311" s="887"/>
      <c r="B311" s="894"/>
      <c r="C311" s="907"/>
      <c r="D311" s="703"/>
      <c r="E311" s="703"/>
      <c r="F311" s="905"/>
      <c r="G311" s="703"/>
      <c r="H311" s="995" t="s">
        <v>697</v>
      </c>
      <c r="I311" s="602">
        <v>600000</v>
      </c>
      <c r="J311" s="603">
        <v>1</v>
      </c>
      <c r="K311" s="604" t="s">
        <v>577</v>
      </c>
      <c r="L311" s="1033" t="s">
        <v>697</v>
      </c>
      <c r="M311" s="674" t="s">
        <v>659</v>
      </c>
      <c r="N311" s="788">
        <f t="shared" si="139"/>
        <v>600000</v>
      </c>
      <c r="P311" s="545">
        <f t="shared" si="133"/>
        <v>0</v>
      </c>
      <c r="Q311" s="545">
        <f t="shared" si="128"/>
        <v>0</v>
      </c>
      <c r="R311" s="545">
        <f t="shared" si="129"/>
        <v>0</v>
      </c>
      <c r="S311" s="545">
        <f t="shared" si="130"/>
        <v>0</v>
      </c>
      <c r="T311" s="545">
        <f t="shared" si="131"/>
        <v>600000</v>
      </c>
      <c r="U311" s="545">
        <f t="shared" si="132"/>
        <v>0</v>
      </c>
      <c r="V311" s="545">
        <f t="shared" si="136"/>
        <v>0</v>
      </c>
    </row>
    <row r="312" spans="1:23" s="546" customFormat="1" ht="42.75">
      <c r="A312" s="887"/>
      <c r="B312" s="894"/>
      <c r="C312" s="907"/>
      <c r="D312" s="703"/>
      <c r="E312" s="703"/>
      <c r="F312" s="905"/>
      <c r="G312" s="703"/>
      <c r="H312" s="998" t="s">
        <v>665</v>
      </c>
      <c r="I312" s="612">
        <v>4700000</v>
      </c>
      <c r="J312" s="613">
        <v>1</v>
      </c>
      <c r="K312" s="614" t="s">
        <v>577</v>
      </c>
      <c r="L312" s="1050" t="s">
        <v>661</v>
      </c>
      <c r="M312" s="678" t="s">
        <v>666</v>
      </c>
      <c r="N312" s="679">
        <f t="shared" si="139"/>
        <v>4700000</v>
      </c>
      <c r="P312" s="545">
        <f t="shared" si="133"/>
        <v>0</v>
      </c>
      <c r="Q312" s="545">
        <f t="shared" si="128"/>
        <v>0</v>
      </c>
      <c r="R312" s="545">
        <f t="shared" si="129"/>
        <v>0</v>
      </c>
      <c r="S312" s="545">
        <f t="shared" si="130"/>
        <v>4700000</v>
      </c>
      <c r="T312" s="545">
        <f t="shared" si="131"/>
        <v>0</v>
      </c>
      <c r="U312" s="545">
        <f t="shared" si="132"/>
        <v>0</v>
      </c>
      <c r="V312" s="545">
        <f t="shared" si="136"/>
        <v>0</v>
      </c>
    </row>
    <row r="313" spans="1:23" s="546" customFormat="1" ht="57.75" thickBot="1">
      <c r="A313" s="887"/>
      <c r="B313" s="894"/>
      <c r="C313" s="907"/>
      <c r="D313" s="703">
        <v>3000000</v>
      </c>
      <c r="E313" s="703">
        <f>I313</f>
        <v>3000000</v>
      </c>
      <c r="F313" s="905">
        <f t="shared" ref="F313" si="140">I313</f>
        <v>3000000</v>
      </c>
      <c r="G313" s="703">
        <f t="shared" si="127"/>
        <v>0</v>
      </c>
      <c r="H313" s="1004" t="s">
        <v>587</v>
      </c>
      <c r="I313" s="852">
        <v>3000000</v>
      </c>
      <c r="J313" s="619">
        <v>1</v>
      </c>
      <c r="K313" s="620" t="s">
        <v>464</v>
      </c>
      <c r="L313" s="1047" t="s">
        <v>698</v>
      </c>
      <c r="M313" s="685" t="s">
        <v>209</v>
      </c>
      <c r="N313" s="1051">
        <f>I313*J313</f>
        <v>3000000</v>
      </c>
      <c r="P313" s="545">
        <f t="shared" si="133"/>
        <v>0</v>
      </c>
      <c r="Q313" s="545">
        <f t="shared" si="128"/>
        <v>0</v>
      </c>
      <c r="R313" s="545">
        <f t="shared" si="129"/>
        <v>0</v>
      </c>
      <c r="S313" s="545">
        <f t="shared" si="130"/>
        <v>0</v>
      </c>
      <c r="T313" s="545">
        <f t="shared" si="131"/>
        <v>3000000</v>
      </c>
      <c r="U313" s="545">
        <f t="shared" si="132"/>
        <v>0</v>
      </c>
      <c r="V313" s="545">
        <f t="shared" si="136"/>
        <v>0</v>
      </c>
    </row>
    <row r="314" spans="1:23" s="546" customFormat="1" ht="21" hidden="1" customHeight="1" thickBot="1">
      <c r="A314" s="887"/>
      <c r="B314" s="887"/>
      <c r="C314" s="900"/>
      <c r="D314" s="905"/>
      <c r="E314" s="703"/>
      <c r="F314" s="703"/>
      <c r="G314" s="703"/>
      <c r="H314" s="833"/>
      <c r="I314" s="704"/>
      <c r="J314" s="705"/>
      <c r="K314" s="600"/>
      <c r="L314" s="836"/>
      <c r="M314" s="851"/>
      <c r="N314" s="688"/>
      <c r="P314" s="545">
        <f t="shared" ref="P314" si="141">IF($M314="보조금",$I314,0)</f>
        <v>0</v>
      </c>
      <c r="Q314" s="545">
        <f t="shared" ref="Q314" si="142">IF($M314="법인전입금",$I314,0)</f>
        <v>0</v>
      </c>
      <c r="R314" s="545">
        <f t="shared" ref="R314" si="143">IF($M314="구법인",$I314,0)</f>
        <v>0</v>
      </c>
      <c r="S314" s="545">
        <f t="shared" si="130"/>
        <v>0</v>
      </c>
      <c r="T314" s="545">
        <f t="shared" si="131"/>
        <v>0</v>
      </c>
      <c r="U314" s="545">
        <f t="shared" si="132"/>
        <v>0</v>
      </c>
      <c r="V314" s="546">
        <f t="shared" si="136"/>
        <v>0</v>
      </c>
    </row>
    <row r="315" spans="1:23" s="546" customFormat="1" ht="21" customHeight="1" thickBot="1">
      <c r="A315" s="577" t="s">
        <v>204</v>
      </c>
      <c r="B315" s="577"/>
      <c r="C315" s="577"/>
      <c r="D315" s="885">
        <v>24353077</v>
      </c>
      <c r="E315" s="885">
        <f t="shared" ref="E315:F316" si="144">E316</f>
        <v>26519660</v>
      </c>
      <c r="F315" s="885">
        <f t="shared" si="144"/>
        <v>26487771</v>
      </c>
      <c r="G315" s="583">
        <f t="shared" ref="G315:G321" si="145">E315-D315</f>
        <v>2166583</v>
      </c>
      <c r="H315" s="573"/>
      <c r="I315" s="574"/>
      <c r="J315" s="575"/>
      <c r="K315" s="575"/>
      <c r="L315" s="576"/>
      <c r="M315" s="830"/>
      <c r="N315" s="596">
        <f>N316</f>
        <v>26519660</v>
      </c>
      <c r="P315" s="545">
        <f>P316</f>
        <v>0</v>
      </c>
      <c r="Q315" s="545">
        <f t="shared" ref="Q315:Q316" si="146">Q316</f>
        <v>0</v>
      </c>
      <c r="R315" s="545">
        <f t="shared" ref="R315:R316" si="147">R316</f>
        <v>0</v>
      </c>
      <c r="S315" s="545">
        <f t="shared" ref="S315:S316" si="148">S316</f>
        <v>0</v>
      </c>
      <c r="T315" s="545">
        <f t="shared" ref="T315:V316" si="149">T316</f>
        <v>0</v>
      </c>
      <c r="U315" s="545">
        <f t="shared" si="149"/>
        <v>0</v>
      </c>
      <c r="V315" s="545">
        <f t="shared" si="149"/>
        <v>26519660</v>
      </c>
    </row>
    <row r="316" spans="1:23" s="546" customFormat="1" ht="21" customHeight="1" thickBot="1">
      <c r="A316" s="887"/>
      <c r="B316" s="577" t="s">
        <v>204</v>
      </c>
      <c r="C316" s="577"/>
      <c r="D316" s="885">
        <v>24353077</v>
      </c>
      <c r="E316" s="885">
        <f t="shared" si="144"/>
        <v>26519660</v>
      </c>
      <c r="F316" s="885">
        <f t="shared" si="144"/>
        <v>26487771</v>
      </c>
      <c r="G316" s="583">
        <f t="shared" si="145"/>
        <v>2166583</v>
      </c>
      <c r="H316" s="591" t="s">
        <v>204</v>
      </c>
      <c r="I316" s="592"/>
      <c r="J316" s="593"/>
      <c r="K316" s="593"/>
      <c r="L316" s="594"/>
      <c r="M316" s="595"/>
      <c r="N316" s="596">
        <f>N317</f>
        <v>26519660</v>
      </c>
      <c r="P316" s="545">
        <f>P317</f>
        <v>0</v>
      </c>
      <c r="Q316" s="545">
        <f t="shared" si="146"/>
        <v>0</v>
      </c>
      <c r="R316" s="545">
        <f t="shared" si="147"/>
        <v>0</v>
      </c>
      <c r="S316" s="545">
        <f t="shared" si="148"/>
        <v>0</v>
      </c>
      <c r="T316" s="545">
        <f t="shared" si="149"/>
        <v>0</v>
      </c>
      <c r="U316" s="545">
        <f t="shared" si="149"/>
        <v>0</v>
      </c>
      <c r="V316" s="545">
        <f t="shared" si="149"/>
        <v>26519660</v>
      </c>
    </row>
    <row r="317" spans="1:23" s="546" customFormat="1" ht="21" customHeight="1" thickBot="1">
      <c r="A317" s="887"/>
      <c r="B317" s="887"/>
      <c r="C317" s="577" t="s">
        <v>204</v>
      </c>
      <c r="D317" s="885">
        <v>24353077</v>
      </c>
      <c r="E317" s="885">
        <f>SUM(E318:E321)</f>
        <v>26519660</v>
      </c>
      <c r="F317" s="885">
        <f>SUM(F318:F321)</f>
        <v>26487771</v>
      </c>
      <c r="G317" s="577">
        <f t="shared" si="145"/>
        <v>2166583</v>
      </c>
      <c r="H317" s="591" t="s">
        <v>204</v>
      </c>
      <c r="I317" s="592"/>
      <c r="J317" s="593"/>
      <c r="K317" s="593"/>
      <c r="L317" s="594"/>
      <c r="M317" s="595"/>
      <c r="N317" s="577">
        <f>SUM(N318:N321)-N319-N320</f>
        <v>26519660</v>
      </c>
      <c r="P317" s="545">
        <f t="shared" ref="P317:W317" si="150">SUM(P318:P321)</f>
        <v>0</v>
      </c>
      <c r="Q317" s="545">
        <f t="shared" si="150"/>
        <v>0</v>
      </c>
      <c r="R317" s="545">
        <f t="shared" si="150"/>
        <v>0</v>
      </c>
      <c r="S317" s="545">
        <f t="shared" si="150"/>
        <v>0</v>
      </c>
      <c r="T317" s="545">
        <f t="shared" si="150"/>
        <v>0</v>
      </c>
      <c r="U317" s="545">
        <f t="shared" si="150"/>
        <v>0</v>
      </c>
      <c r="V317" s="545">
        <f t="shared" si="150"/>
        <v>26519660</v>
      </c>
      <c r="W317" s="546">
        <f t="shared" si="150"/>
        <v>0</v>
      </c>
    </row>
    <row r="318" spans="1:23" s="546" customFormat="1" ht="21" customHeight="1">
      <c r="A318" s="887"/>
      <c r="B318" s="887"/>
      <c r="C318" s="900"/>
      <c r="D318" s="897"/>
      <c r="E318" s="897"/>
      <c r="F318" s="897">
        <f>I318</f>
        <v>16560000</v>
      </c>
      <c r="G318" s="897">
        <f t="shared" si="145"/>
        <v>0</v>
      </c>
      <c r="H318" s="853" t="s">
        <v>492</v>
      </c>
      <c r="I318" s="854">
        <f>SUM(N319:N320)</f>
        <v>16560000</v>
      </c>
      <c r="J318" s="855"/>
      <c r="K318" s="845"/>
      <c r="L318" s="845"/>
      <c r="M318" s="856"/>
      <c r="N318" s="677">
        <f>I318</f>
        <v>16560000</v>
      </c>
      <c r="P318" s="545">
        <f t="shared" ref="P318:P321" si="151">IF($M318="보조금",$N318,0)</f>
        <v>0</v>
      </c>
      <c r="Q318" s="545">
        <f t="shared" ref="Q318:Q321" si="152">IF($M318="법인전입금",$N318,0)</f>
        <v>0</v>
      </c>
      <c r="R318" s="545">
        <f t="shared" ref="R318:R321" si="153">IF($M318="구법인",$N318,0)</f>
        <v>0</v>
      </c>
      <c r="S318" s="545">
        <f t="shared" ref="S318:S321" si="154">IF($M318="지정후원금",$N318,0)</f>
        <v>0</v>
      </c>
      <c r="T318" s="545">
        <f t="shared" ref="T318:T321" si="155">IF($M318="비지정후원금",$N318,0)</f>
        <v>0</v>
      </c>
      <c r="U318" s="545">
        <f t="shared" ref="U318:U321" si="156">IF(OR($M318="수익사업"),$N318,0)</f>
        <v>0</v>
      </c>
      <c r="V318" s="545">
        <f>IF(OR($M318="잡지출"),$N318,0)</f>
        <v>0</v>
      </c>
      <c r="W318" s="545">
        <f t="shared" ref="W318" si="157">IF(OR($M318="잡지출"),$N318,0)</f>
        <v>0</v>
      </c>
    </row>
    <row r="319" spans="1:23" s="546" customFormat="1" ht="21" customHeight="1">
      <c r="A319" s="887"/>
      <c r="B319" s="887"/>
      <c r="C319" s="907"/>
      <c r="D319" s="897">
        <v>14400000</v>
      </c>
      <c r="E319" s="897">
        <f>N319</f>
        <v>16200000</v>
      </c>
      <c r="F319" s="897"/>
      <c r="G319" s="897">
        <f t="shared" si="145"/>
        <v>1800000</v>
      </c>
      <c r="H319" s="742" t="s">
        <v>249</v>
      </c>
      <c r="I319" s="834">
        <v>1350000</v>
      </c>
      <c r="J319" s="835">
        <v>12</v>
      </c>
      <c r="K319" s="836" t="s">
        <v>451</v>
      </c>
      <c r="L319" s="836"/>
      <c r="M319" s="837" t="s">
        <v>718</v>
      </c>
      <c r="N319" s="788">
        <f>I319*J319</f>
        <v>16200000</v>
      </c>
      <c r="P319" s="545">
        <f t="shared" si="151"/>
        <v>0</v>
      </c>
      <c r="Q319" s="545">
        <f t="shared" si="152"/>
        <v>0</v>
      </c>
      <c r="R319" s="545">
        <f t="shared" si="153"/>
        <v>0</v>
      </c>
      <c r="S319" s="545">
        <f t="shared" si="154"/>
        <v>0</v>
      </c>
      <c r="T319" s="545">
        <f t="shared" si="155"/>
        <v>0</v>
      </c>
      <c r="U319" s="545">
        <f t="shared" si="156"/>
        <v>0</v>
      </c>
      <c r="V319" s="545">
        <f>IF(OR($M319="잡지출"),$N319,0)</f>
        <v>16200000</v>
      </c>
      <c r="W319" s="545"/>
    </row>
    <row r="320" spans="1:23" s="546" customFormat="1" ht="21" customHeight="1">
      <c r="A320" s="887"/>
      <c r="B320" s="887"/>
      <c r="C320" s="907"/>
      <c r="D320" s="897"/>
      <c r="E320" s="897">
        <f>N320</f>
        <v>360000</v>
      </c>
      <c r="F320" s="897"/>
      <c r="G320" s="897">
        <f t="shared" si="145"/>
        <v>360000</v>
      </c>
      <c r="H320" s="857" t="s">
        <v>493</v>
      </c>
      <c r="I320" s="815">
        <v>180000</v>
      </c>
      <c r="J320" s="816">
        <v>2</v>
      </c>
      <c r="K320" s="817" t="s">
        <v>451</v>
      </c>
      <c r="L320" s="817"/>
      <c r="M320" s="858" t="s">
        <v>718</v>
      </c>
      <c r="N320" s="679">
        <f>I320*J320</f>
        <v>360000</v>
      </c>
      <c r="P320" s="545">
        <f t="shared" si="151"/>
        <v>0</v>
      </c>
      <c r="Q320" s="545">
        <f t="shared" si="152"/>
        <v>0</v>
      </c>
      <c r="R320" s="545">
        <f t="shared" si="153"/>
        <v>0</v>
      </c>
      <c r="S320" s="545">
        <f t="shared" si="154"/>
        <v>0</v>
      </c>
      <c r="T320" s="545">
        <f t="shared" si="155"/>
        <v>0</v>
      </c>
      <c r="U320" s="545">
        <f t="shared" si="156"/>
        <v>0</v>
      </c>
      <c r="V320" s="545">
        <f>IF(OR($M320="잡지출"),$N320,0)</f>
        <v>360000</v>
      </c>
      <c r="W320" s="545"/>
    </row>
    <row r="321" spans="1:23" s="546" customFormat="1" ht="21" customHeight="1" thickBot="1">
      <c r="A321" s="887"/>
      <c r="B321" s="887"/>
      <c r="C321" s="906"/>
      <c r="D321" s="897">
        <v>9953077</v>
      </c>
      <c r="E321" s="897">
        <f>N321</f>
        <v>9959660</v>
      </c>
      <c r="F321" s="897">
        <v>9927771</v>
      </c>
      <c r="G321" s="897">
        <f t="shared" si="145"/>
        <v>6583</v>
      </c>
      <c r="H321" s="818" t="s">
        <v>446</v>
      </c>
      <c r="I321" s="859">
        <v>9959660</v>
      </c>
      <c r="J321" s="855">
        <v>1</v>
      </c>
      <c r="K321" s="845" t="s">
        <v>464</v>
      </c>
      <c r="L321" s="845"/>
      <c r="M321" s="1139" t="s">
        <v>718</v>
      </c>
      <c r="N321" s="1138">
        <f>I321*J321</f>
        <v>9959660</v>
      </c>
      <c r="P321" s="545">
        <f t="shared" si="151"/>
        <v>0</v>
      </c>
      <c r="Q321" s="545">
        <f t="shared" si="152"/>
        <v>0</v>
      </c>
      <c r="R321" s="545">
        <f t="shared" si="153"/>
        <v>0</v>
      </c>
      <c r="S321" s="545">
        <f t="shared" si="154"/>
        <v>0</v>
      </c>
      <c r="T321" s="545">
        <f t="shared" si="155"/>
        <v>0</v>
      </c>
      <c r="U321" s="545">
        <f t="shared" si="156"/>
        <v>0</v>
      </c>
      <c r="V321" s="545">
        <f>IF(OR($M321="잡지출"),$N321,0)</f>
        <v>9959660</v>
      </c>
      <c r="W321" s="545"/>
    </row>
    <row r="322" spans="1:23" s="546" customFormat="1" ht="21" customHeight="1" thickBot="1">
      <c r="A322" s="780" t="s">
        <v>438</v>
      </c>
      <c r="B322" s="909"/>
      <c r="C322" s="577"/>
      <c r="D322" s="577">
        <v>40000000</v>
      </c>
      <c r="E322" s="780">
        <f>E323</f>
        <v>61897670</v>
      </c>
      <c r="F322" s="780">
        <f>F323</f>
        <v>13489493</v>
      </c>
      <c r="G322" s="583">
        <f t="shared" ref="G322:G338" si="158">E322-D322</f>
        <v>21897670</v>
      </c>
      <c r="H322" s="573"/>
      <c r="I322" s="574"/>
      <c r="J322" s="575"/>
      <c r="K322" s="575"/>
      <c r="L322" s="868"/>
      <c r="M322" s="869"/>
      <c r="N322" s="861">
        <f>N323</f>
        <v>61897670</v>
      </c>
      <c r="P322" s="545"/>
      <c r="Q322" s="545">
        <f t="shared" ref="Q322:U322" si="159">Q323</f>
        <v>0</v>
      </c>
      <c r="R322" s="545">
        <f t="shared" si="159"/>
        <v>0</v>
      </c>
      <c r="S322" s="545">
        <f t="shared" si="159"/>
        <v>0</v>
      </c>
      <c r="T322" s="545">
        <f t="shared" si="159"/>
        <v>0</v>
      </c>
      <c r="U322" s="545">
        <f t="shared" si="159"/>
        <v>0</v>
      </c>
      <c r="V322" s="545"/>
    </row>
    <row r="323" spans="1:23" s="546" customFormat="1" ht="21" customHeight="1" thickBot="1">
      <c r="A323" s="909"/>
      <c r="B323" s="780" t="s">
        <v>441</v>
      </c>
      <c r="C323" s="893"/>
      <c r="D323" s="577">
        <v>40000000</v>
      </c>
      <c r="E323" s="908">
        <f>E324</f>
        <v>61897670</v>
      </c>
      <c r="F323" s="908">
        <f>F324</f>
        <v>13489493</v>
      </c>
      <c r="G323" s="583">
        <f t="shared" si="158"/>
        <v>21897670</v>
      </c>
      <c r="H323" s="862"/>
      <c r="I323" s="863"/>
      <c r="J323" s="864"/>
      <c r="K323" s="864"/>
      <c r="L323" s="865"/>
      <c r="M323" s="866"/>
      <c r="N323" s="867">
        <f>N324</f>
        <v>61897670</v>
      </c>
      <c r="P323" s="545"/>
      <c r="Q323" s="545">
        <f t="shared" ref="Q323:U323" si="160">Q324</f>
        <v>0</v>
      </c>
      <c r="R323" s="545">
        <f t="shared" si="160"/>
        <v>0</v>
      </c>
      <c r="S323" s="545">
        <f t="shared" si="160"/>
        <v>0</v>
      </c>
      <c r="T323" s="545">
        <f t="shared" si="160"/>
        <v>0</v>
      </c>
      <c r="U323" s="545">
        <f t="shared" si="160"/>
        <v>0</v>
      </c>
      <c r="V323" s="545"/>
    </row>
    <row r="324" spans="1:23" s="546" customFormat="1" ht="21" customHeight="1" thickBot="1">
      <c r="A324" s="906"/>
      <c r="B324" s="812"/>
      <c r="C324" s="887" t="s">
        <v>403</v>
      </c>
      <c r="D324" s="577">
        <v>40000000</v>
      </c>
      <c r="E324" s="904">
        <f>SUM(E325:E338)</f>
        <v>61897670</v>
      </c>
      <c r="F324" s="904">
        <f>SUM(F325:F338)</f>
        <v>13489493</v>
      </c>
      <c r="G324" s="577">
        <f t="shared" si="158"/>
        <v>21897670</v>
      </c>
      <c r="H324" s="870" t="s">
        <v>205</v>
      </c>
      <c r="I324" s="871"/>
      <c r="J324" s="872"/>
      <c r="K324" s="872"/>
      <c r="L324" s="873"/>
      <c r="M324" s="874"/>
      <c r="N324" s="861">
        <f>SUM(N325:N338)</f>
        <v>61897670</v>
      </c>
      <c r="P324" s="545">
        <f t="shared" ref="P324:V324" si="161">SUM(P325:P338)</f>
        <v>60325085</v>
      </c>
      <c r="Q324" s="545">
        <f t="shared" si="161"/>
        <v>0</v>
      </c>
      <c r="R324" s="545">
        <f t="shared" si="161"/>
        <v>0</v>
      </c>
      <c r="S324" s="545">
        <f t="shared" si="161"/>
        <v>0</v>
      </c>
      <c r="T324" s="545">
        <f t="shared" si="161"/>
        <v>0</v>
      </c>
      <c r="U324" s="545">
        <f t="shared" si="161"/>
        <v>0</v>
      </c>
      <c r="V324" s="545">
        <f t="shared" si="161"/>
        <v>1572585</v>
      </c>
    </row>
    <row r="325" spans="1:23" s="546" customFormat="1" ht="21" customHeight="1">
      <c r="A325" s="823"/>
      <c r="B325" s="752"/>
      <c r="C325" s="910"/>
      <c r="D325" s="752"/>
      <c r="E325" s="898"/>
      <c r="F325" s="898">
        <f>N325</f>
        <v>0</v>
      </c>
      <c r="G325" s="899">
        <f t="shared" si="158"/>
        <v>0</v>
      </c>
      <c r="H325" s="824" t="s">
        <v>494</v>
      </c>
      <c r="I325" s="825">
        <f>SUM(I326:I338)</f>
        <v>61897670</v>
      </c>
      <c r="J325" s="832"/>
      <c r="K325" s="730"/>
      <c r="L325" s="730"/>
      <c r="M325" s="731" t="s">
        <v>33</v>
      </c>
      <c r="N325" s="673"/>
      <c r="P325" s="545">
        <f>IF($M325="보조금",$N325,0)</f>
        <v>0</v>
      </c>
      <c r="Q325" s="545">
        <f t="shared" ref="Q325:Q338" si="162">IF($M325="법인전입금",$N325,0)</f>
        <v>0</v>
      </c>
      <c r="R325" s="545">
        <f t="shared" ref="R325" si="163">IF($M325="구법인",$I325,0)</f>
        <v>0</v>
      </c>
      <c r="S325" s="545">
        <f t="shared" ref="S325:S338" si="164">IF($M325="지정후원금",$N325,0)</f>
        <v>0</v>
      </c>
      <c r="T325" s="545">
        <f t="shared" ref="T325:T338" si="165">IF($M325="비지정후원금",$N325,0)</f>
        <v>0</v>
      </c>
      <c r="U325" s="545">
        <f t="shared" ref="U325:U338" si="166">IF(OR($M325="수익사업"),$N325,0)</f>
        <v>0</v>
      </c>
      <c r="V325" s="546">
        <f t="shared" ref="V325:V338" si="167">IF(OR($M325="잡지출"),$N325,0)</f>
        <v>0</v>
      </c>
    </row>
    <row r="326" spans="1:23" s="546" customFormat="1" ht="21" customHeight="1">
      <c r="A326" s="906"/>
      <c r="B326" s="683"/>
      <c r="C326" s="703"/>
      <c r="D326" s="683"/>
      <c r="E326" s="703">
        <f t="shared" ref="E326:E338" si="168">N326</f>
        <v>13474493</v>
      </c>
      <c r="F326" s="703">
        <f t="shared" ref="F326:F338" si="169">N326</f>
        <v>13474493</v>
      </c>
      <c r="G326" s="897">
        <f t="shared" si="158"/>
        <v>13474493</v>
      </c>
      <c r="H326" s="742" t="s">
        <v>670</v>
      </c>
      <c r="I326" s="834">
        <v>13474493</v>
      </c>
      <c r="J326" s="835">
        <v>1</v>
      </c>
      <c r="K326" s="836" t="s">
        <v>464</v>
      </c>
      <c r="L326" s="836" t="s">
        <v>582</v>
      </c>
      <c r="M326" s="837" t="s">
        <v>33</v>
      </c>
      <c r="N326" s="788">
        <f t="shared" ref="N326" si="170">I326*J326</f>
        <v>13474493</v>
      </c>
      <c r="P326" s="545">
        <f t="shared" ref="P326:P338" si="171">IF($M326="보조금",$N326,0)</f>
        <v>13474493</v>
      </c>
      <c r="Q326" s="545">
        <f t="shared" si="162"/>
        <v>0</v>
      </c>
      <c r="R326" s="545">
        <f t="shared" ref="R326:R338" si="172">IF($M326="구법인",$N326,0)</f>
        <v>0</v>
      </c>
      <c r="S326" s="545">
        <f t="shared" si="164"/>
        <v>0</v>
      </c>
      <c r="T326" s="545">
        <f t="shared" si="165"/>
        <v>0</v>
      </c>
      <c r="U326" s="545">
        <f t="shared" si="166"/>
        <v>0</v>
      </c>
      <c r="V326" s="545">
        <f t="shared" si="167"/>
        <v>0</v>
      </c>
    </row>
    <row r="327" spans="1:23" s="546" customFormat="1" ht="21" customHeight="1">
      <c r="A327" s="906"/>
      <c r="B327" s="683"/>
      <c r="C327" s="703"/>
      <c r="D327" s="683"/>
      <c r="E327" s="703">
        <f t="shared" si="168"/>
        <v>737658</v>
      </c>
      <c r="F327" s="703"/>
      <c r="G327" s="897">
        <f t="shared" si="158"/>
        <v>737658</v>
      </c>
      <c r="H327" s="1013" t="s">
        <v>614</v>
      </c>
      <c r="I327" s="1014">
        <v>737658</v>
      </c>
      <c r="J327" s="875">
        <v>1</v>
      </c>
      <c r="K327" s="674" t="s">
        <v>464</v>
      </c>
      <c r="L327" s="841" t="s">
        <v>495</v>
      </c>
      <c r="M327" s="837" t="s">
        <v>33</v>
      </c>
      <c r="N327" s="788">
        <f t="shared" ref="N327:N328" si="173">I327*J327</f>
        <v>737658</v>
      </c>
      <c r="P327" s="545">
        <f t="shared" si="171"/>
        <v>737658</v>
      </c>
      <c r="Q327" s="545">
        <f t="shared" si="162"/>
        <v>0</v>
      </c>
      <c r="R327" s="545">
        <f t="shared" si="172"/>
        <v>0</v>
      </c>
      <c r="S327" s="545">
        <f t="shared" si="164"/>
        <v>0</v>
      </c>
      <c r="T327" s="545">
        <f t="shared" si="165"/>
        <v>0</v>
      </c>
      <c r="U327" s="545">
        <f t="shared" si="166"/>
        <v>0</v>
      </c>
      <c r="V327" s="545">
        <f t="shared" si="167"/>
        <v>0</v>
      </c>
    </row>
    <row r="328" spans="1:23" s="546" customFormat="1" ht="21" customHeight="1">
      <c r="A328" s="906"/>
      <c r="B328" s="683"/>
      <c r="C328" s="703"/>
      <c r="D328" s="683"/>
      <c r="E328" s="703">
        <f t="shared" si="168"/>
        <v>5677874</v>
      </c>
      <c r="F328" s="703"/>
      <c r="G328" s="897">
        <f t="shared" si="158"/>
        <v>5677874</v>
      </c>
      <c r="H328" s="1013" t="s">
        <v>669</v>
      </c>
      <c r="I328" s="1014">
        <v>5677874</v>
      </c>
      <c r="J328" s="875">
        <v>1</v>
      </c>
      <c r="K328" s="674" t="s">
        <v>464</v>
      </c>
      <c r="L328" s="841" t="s">
        <v>495</v>
      </c>
      <c r="M328" s="837" t="s">
        <v>33</v>
      </c>
      <c r="N328" s="788">
        <f t="shared" si="173"/>
        <v>5677874</v>
      </c>
      <c r="P328" s="545">
        <f t="shared" si="171"/>
        <v>5677874</v>
      </c>
      <c r="Q328" s="545">
        <f t="shared" si="162"/>
        <v>0</v>
      </c>
      <c r="R328" s="545">
        <f t="shared" si="172"/>
        <v>0</v>
      </c>
      <c r="S328" s="545">
        <f t="shared" si="164"/>
        <v>0</v>
      </c>
      <c r="T328" s="545">
        <f t="shared" si="165"/>
        <v>0</v>
      </c>
      <c r="U328" s="545">
        <f t="shared" si="166"/>
        <v>0</v>
      </c>
      <c r="V328" s="545">
        <f t="shared" si="167"/>
        <v>0</v>
      </c>
    </row>
    <row r="329" spans="1:23" s="546" customFormat="1" ht="21" customHeight="1">
      <c r="A329" s="906"/>
      <c r="B329" s="683"/>
      <c r="C329" s="703"/>
      <c r="D329" s="683"/>
      <c r="E329" s="703">
        <f t="shared" si="168"/>
        <v>8590</v>
      </c>
      <c r="F329" s="703"/>
      <c r="G329" s="897">
        <f t="shared" si="158"/>
        <v>8590</v>
      </c>
      <c r="H329" s="1013" t="s">
        <v>668</v>
      </c>
      <c r="I329" s="1014">
        <v>8590</v>
      </c>
      <c r="J329" s="875">
        <v>1</v>
      </c>
      <c r="K329" s="674" t="s">
        <v>464</v>
      </c>
      <c r="L329" s="836" t="s">
        <v>582</v>
      </c>
      <c r="M329" s="837" t="s">
        <v>33</v>
      </c>
      <c r="N329" s="788">
        <f>I329*J329</f>
        <v>8590</v>
      </c>
      <c r="P329" s="545">
        <f t="shared" si="171"/>
        <v>8590</v>
      </c>
      <c r="Q329" s="545">
        <f t="shared" si="162"/>
        <v>0</v>
      </c>
      <c r="R329" s="545">
        <f t="shared" si="172"/>
        <v>0</v>
      </c>
      <c r="S329" s="545">
        <f t="shared" si="164"/>
        <v>0</v>
      </c>
      <c r="T329" s="545">
        <f t="shared" si="165"/>
        <v>0</v>
      </c>
      <c r="U329" s="545">
        <f t="shared" si="166"/>
        <v>0</v>
      </c>
      <c r="V329" s="545">
        <f t="shared" si="167"/>
        <v>0</v>
      </c>
    </row>
    <row r="330" spans="1:23" s="546" customFormat="1" ht="21" customHeight="1">
      <c r="A330" s="906"/>
      <c r="B330" s="683"/>
      <c r="C330" s="703"/>
      <c r="D330" s="683">
        <v>22000000</v>
      </c>
      <c r="E330" s="703">
        <f t="shared" si="168"/>
        <v>22425520</v>
      </c>
      <c r="F330" s="703"/>
      <c r="G330" s="897">
        <f t="shared" si="158"/>
        <v>425520</v>
      </c>
      <c r="H330" s="742" t="s">
        <v>667</v>
      </c>
      <c r="I330" s="834">
        <v>22425520</v>
      </c>
      <c r="J330" s="835">
        <v>1</v>
      </c>
      <c r="K330" s="836" t="s">
        <v>464</v>
      </c>
      <c r="L330" s="836" t="s">
        <v>582</v>
      </c>
      <c r="M330" s="837" t="s">
        <v>33</v>
      </c>
      <c r="N330" s="788">
        <f t="shared" ref="N330:N338" si="174">I330*J330</f>
        <v>22425520</v>
      </c>
      <c r="P330" s="545">
        <f t="shared" si="171"/>
        <v>22425520</v>
      </c>
      <c r="Q330" s="545">
        <f t="shared" si="162"/>
        <v>0</v>
      </c>
      <c r="R330" s="545">
        <f t="shared" si="172"/>
        <v>0</v>
      </c>
      <c r="S330" s="545">
        <f t="shared" si="164"/>
        <v>0</v>
      </c>
      <c r="T330" s="545">
        <f t="shared" si="165"/>
        <v>0</v>
      </c>
      <c r="U330" s="545">
        <f t="shared" si="166"/>
        <v>0</v>
      </c>
      <c r="V330" s="545">
        <f t="shared" si="167"/>
        <v>0</v>
      </c>
    </row>
    <row r="331" spans="1:23" s="546" customFormat="1" ht="21" customHeight="1">
      <c r="A331" s="906"/>
      <c r="B331" s="683"/>
      <c r="C331" s="703"/>
      <c r="D331" s="683"/>
      <c r="E331" s="703">
        <f t="shared" si="168"/>
        <v>3626396</v>
      </c>
      <c r="F331" s="703"/>
      <c r="G331" s="897">
        <f t="shared" si="158"/>
        <v>3626396</v>
      </c>
      <c r="H331" s="742" t="s">
        <v>675</v>
      </c>
      <c r="I331" s="834">
        <v>3626396</v>
      </c>
      <c r="J331" s="835">
        <v>1</v>
      </c>
      <c r="K331" s="836" t="s">
        <v>464</v>
      </c>
      <c r="L331" s="836" t="s">
        <v>582</v>
      </c>
      <c r="M331" s="837" t="s">
        <v>33</v>
      </c>
      <c r="N331" s="788">
        <f t="shared" si="174"/>
        <v>3626396</v>
      </c>
      <c r="P331" s="545">
        <f t="shared" si="171"/>
        <v>3626396</v>
      </c>
      <c r="Q331" s="545">
        <f t="shared" si="162"/>
        <v>0</v>
      </c>
      <c r="R331" s="545">
        <f t="shared" si="172"/>
        <v>0</v>
      </c>
      <c r="S331" s="545">
        <f t="shared" si="164"/>
        <v>0</v>
      </c>
      <c r="T331" s="545">
        <f t="shared" si="165"/>
        <v>0</v>
      </c>
      <c r="U331" s="545">
        <f t="shared" si="166"/>
        <v>0</v>
      </c>
      <c r="V331" s="545">
        <f t="shared" si="167"/>
        <v>0</v>
      </c>
    </row>
    <row r="332" spans="1:23" s="546" customFormat="1" ht="21" customHeight="1">
      <c r="A332" s="906"/>
      <c r="B332" s="683"/>
      <c r="C332" s="703"/>
      <c r="D332" s="683">
        <v>3000000</v>
      </c>
      <c r="E332" s="703">
        <f t="shared" si="168"/>
        <v>3787120</v>
      </c>
      <c r="F332" s="703"/>
      <c r="G332" s="897">
        <f t="shared" si="158"/>
        <v>787120</v>
      </c>
      <c r="H332" s="742" t="s">
        <v>674</v>
      </c>
      <c r="I332" s="834">
        <v>3787120</v>
      </c>
      <c r="J332" s="835">
        <v>1</v>
      </c>
      <c r="K332" s="836" t="s">
        <v>464</v>
      </c>
      <c r="L332" s="836" t="s">
        <v>582</v>
      </c>
      <c r="M332" s="837" t="s">
        <v>33</v>
      </c>
      <c r="N332" s="788">
        <f t="shared" si="174"/>
        <v>3787120</v>
      </c>
      <c r="P332" s="545">
        <f t="shared" si="171"/>
        <v>3787120</v>
      </c>
      <c r="Q332" s="545">
        <f t="shared" si="162"/>
        <v>0</v>
      </c>
      <c r="R332" s="545">
        <f t="shared" si="172"/>
        <v>0</v>
      </c>
      <c r="S332" s="545">
        <f t="shared" si="164"/>
        <v>0</v>
      </c>
      <c r="T332" s="545">
        <f t="shared" si="165"/>
        <v>0</v>
      </c>
      <c r="U332" s="545">
        <f t="shared" si="166"/>
        <v>0</v>
      </c>
      <c r="V332" s="545">
        <f t="shared" si="167"/>
        <v>0</v>
      </c>
    </row>
    <row r="333" spans="1:23" s="546" customFormat="1" ht="21" customHeight="1">
      <c r="A333" s="906"/>
      <c r="B333" s="683"/>
      <c r="C333" s="703"/>
      <c r="D333" s="683">
        <v>15000000</v>
      </c>
      <c r="E333" s="703">
        <f t="shared" si="168"/>
        <v>9407706</v>
      </c>
      <c r="F333" s="703"/>
      <c r="G333" s="897">
        <f t="shared" si="158"/>
        <v>-5592294</v>
      </c>
      <c r="H333" s="742" t="s">
        <v>671</v>
      </c>
      <c r="I333" s="834">
        <v>9407706</v>
      </c>
      <c r="J333" s="835">
        <v>1</v>
      </c>
      <c r="K333" s="836" t="s">
        <v>464</v>
      </c>
      <c r="L333" s="836" t="s">
        <v>582</v>
      </c>
      <c r="M333" s="837" t="s">
        <v>33</v>
      </c>
      <c r="N333" s="788">
        <f t="shared" si="174"/>
        <v>9407706</v>
      </c>
      <c r="P333" s="545">
        <f t="shared" si="171"/>
        <v>9407706</v>
      </c>
      <c r="Q333" s="545">
        <f t="shared" si="162"/>
        <v>0</v>
      </c>
      <c r="R333" s="545">
        <f t="shared" si="172"/>
        <v>0</v>
      </c>
      <c r="S333" s="545">
        <f t="shared" si="164"/>
        <v>0</v>
      </c>
      <c r="T333" s="545">
        <f t="shared" si="165"/>
        <v>0</v>
      </c>
      <c r="U333" s="545">
        <f t="shared" si="166"/>
        <v>0</v>
      </c>
      <c r="V333" s="545">
        <f t="shared" si="167"/>
        <v>0</v>
      </c>
    </row>
    <row r="334" spans="1:23" s="546" customFormat="1" ht="21" customHeight="1">
      <c r="A334" s="906"/>
      <c r="B334" s="683"/>
      <c r="C334" s="703"/>
      <c r="D334" s="683"/>
      <c r="E334" s="703">
        <f t="shared" si="168"/>
        <v>1170300</v>
      </c>
      <c r="F334" s="703"/>
      <c r="G334" s="897">
        <f t="shared" si="158"/>
        <v>1170300</v>
      </c>
      <c r="H334" s="1013" t="s">
        <v>673</v>
      </c>
      <c r="I334" s="1014">
        <v>1170300</v>
      </c>
      <c r="J334" s="835">
        <v>1</v>
      </c>
      <c r="K334" s="836" t="s">
        <v>464</v>
      </c>
      <c r="L334" s="836" t="s">
        <v>495</v>
      </c>
      <c r="M334" s="837" t="s">
        <v>33</v>
      </c>
      <c r="N334" s="788">
        <f t="shared" si="174"/>
        <v>1170300</v>
      </c>
      <c r="P334" s="545">
        <f t="shared" si="171"/>
        <v>1170300</v>
      </c>
      <c r="Q334" s="545">
        <f t="shared" si="162"/>
        <v>0</v>
      </c>
      <c r="R334" s="545">
        <f t="shared" si="172"/>
        <v>0</v>
      </c>
      <c r="S334" s="545">
        <f t="shared" si="164"/>
        <v>0</v>
      </c>
      <c r="T334" s="545">
        <f t="shared" si="165"/>
        <v>0</v>
      </c>
      <c r="U334" s="545">
        <f t="shared" si="166"/>
        <v>0</v>
      </c>
      <c r="V334" s="545">
        <f t="shared" si="167"/>
        <v>0</v>
      </c>
    </row>
    <row r="335" spans="1:23" s="546" customFormat="1" ht="21" customHeight="1">
      <c r="A335" s="906"/>
      <c r="B335" s="683"/>
      <c r="C335" s="703"/>
      <c r="D335" s="683"/>
      <c r="E335" s="703">
        <f t="shared" si="168"/>
        <v>5106</v>
      </c>
      <c r="F335" s="703"/>
      <c r="G335" s="897">
        <f t="shared" si="158"/>
        <v>5106</v>
      </c>
      <c r="H335" s="1013" t="s">
        <v>672</v>
      </c>
      <c r="I335" s="1014">
        <v>5106</v>
      </c>
      <c r="J335" s="875">
        <v>1</v>
      </c>
      <c r="K335" s="836" t="s">
        <v>464</v>
      </c>
      <c r="L335" s="836" t="s">
        <v>495</v>
      </c>
      <c r="M335" s="837" t="s">
        <v>33</v>
      </c>
      <c r="N335" s="675">
        <f t="shared" si="174"/>
        <v>5106</v>
      </c>
      <c r="P335" s="545">
        <f t="shared" si="171"/>
        <v>5106</v>
      </c>
      <c r="Q335" s="545">
        <f t="shared" si="162"/>
        <v>0</v>
      </c>
      <c r="R335" s="545">
        <f t="shared" si="172"/>
        <v>0</v>
      </c>
      <c r="S335" s="545">
        <f t="shared" si="164"/>
        <v>0</v>
      </c>
      <c r="T335" s="545">
        <f t="shared" si="165"/>
        <v>0</v>
      </c>
      <c r="U335" s="545">
        <f t="shared" si="166"/>
        <v>0</v>
      </c>
      <c r="V335" s="545">
        <f t="shared" si="167"/>
        <v>0</v>
      </c>
    </row>
    <row r="336" spans="1:23" s="546" customFormat="1" ht="21" customHeight="1">
      <c r="A336" s="906"/>
      <c r="B336" s="683"/>
      <c r="C336" s="703"/>
      <c r="D336" s="683"/>
      <c r="E336" s="703">
        <f t="shared" si="168"/>
        <v>4322</v>
      </c>
      <c r="F336" s="703"/>
      <c r="G336" s="897">
        <f t="shared" si="158"/>
        <v>4322</v>
      </c>
      <c r="H336" s="1013" t="s">
        <v>716</v>
      </c>
      <c r="I336" s="1014">
        <v>4322</v>
      </c>
      <c r="J336" s="875">
        <v>1</v>
      </c>
      <c r="K336" s="674" t="s">
        <v>623</v>
      </c>
      <c r="L336" s="841" t="s">
        <v>717</v>
      </c>
      <c r="M336" s="1146" t="s">
        <v>448</v>
      </c>
      <c r="N336" s="675">
        <f>I336</f>
        <v>4322</v>
      </c>
      <c r="P336" s="545">
        <f t="shared" si="171"/>
        <v>4322</v>
      </c>
      <c r="Q336" s="545">
        <f t="shared" si="162"/>
        <v>0</v>
      </c>
      <c r="R336" s="545">
        <f t="shared" si="172"/>
        <v>0</v>
      </c>
      <c r="S336" s="545">
        <f t="shared" si="164"/>
        <v>0</v>
      </c>
      <c r="T336" s="545">
        <f t="shared" si="165"/>
        <v>0</v>
      </c>
      <c r="U336" s="545">
        <f t="shared" si="166"/>
        <v>0</v>
      </c>
      <c r="V336" s="545">
        <f t="shared" si="167"/>
        <v>0</v>
      </c>
    </row>
    <row r="337" spans="1:22" s="546" customFormat="1" ht="21" customHeight="1">
      <c r="A337" s="906"/>
      <c r="B337" s="683"/>
      <c r="C337" s="703"/>
      <c r="D337" s="683"/>
      <c r="E337" s="703">
        <f t="shared" ref="E337" si="175">N337</f>
        <v>1557585</v>
      </c>
      <c r="F337" s="703"/>
      <c r="G337" s="897">
        <f t="shared" ref="G337" si="176">E337-D337</f>
        <v>1557585</v>
      </c>
      <c r="H337" s="1013" t="s">
        <v>719</v>
      </c>
      <c r="I337" s="1014">
        <v>1557585</v>
      </c>
      <c r="J337" s="875">
        <v>1</v>
      </c>
      <c r="K337" s="674" t="s">
        <v>623</v>
      </c>
      <c r="L337" s="841" t="s">
        <v>495</v>
      </c>
      <c r="M337" s="1146" t="s">
        <v>718</v>
      </c>
      <c r="N337" s="675">
        <f>I337</f>
        <v>1557585</v>
      </c>
      <c r="P337" s="545">
        <f t="shared" si="171"/>
        <v>0</v>
      </c>
      <c r="Q337" s="545">
        <f t="shared" si="162"/>
        <v>0</v>
      </c>
      <c r="R337" s="545">
        <f t="shared" si="172"/>
        <v>0</v>
      </c>
      <c r="S337" s="545">
        <f t="shared" si="164"/>
        <v>0</v>
      </c>
      <c r="T337" s="545">
        <f t="shared" si="165"/>
        <v>0</v>
      </c>
      <c r="U337" s="545">
        <f t="shared" si="166"/>
        <v>0</v>
      </c>
      <c r="V337" s="545">
        <f t="shared" si="167"/>
        <v>1557585</v>
      </c>
    </row>
    <row r="338" spans="1:22" s="546" customFormat="1" ht="21" customHeight="1" thickBot="1">
      <c r="A338" s="862"/>
      <c r="B338" s="688"/>
      <c r="C338" s="903"/>
      <c r="D338" s="688"/>
      <c r="E338" s="903">
        <f t="shared" si="168"/>
        <v>15000</v>
      </c>
      <c r="F338" s="903">
        <f t="shared" si="169"/>
        <v>15000</v>
      </c>
      <c r="G338" s="902">
        <f t="shared" si="158"/>
        <v>15000</v>
      </c>
      <c r="H338" s="820" t="s">
        <v>646</v>
      </c>
      <c r="I338" s="829">
        <v>15000</v>
      </c>
      <c r="J338" s="839">
        <v>1</v>
      </c>
      <c r="K338" s="993" t="s">
        <v>623</v>
      </c>
      <c r="L338" s="664" t="s">
        <v>495</v>
      </c>
      <c r="M338" s="1083" t="s">
        <v>718</v>
      </c>
      <c r="N338" s="807">
        <f t="shared" si="174"/>
        <v>15000</v>
      </c>
      <c r="P338" s="545">
        <f t="shared" si="171"/>
        <v>0</v>
      </c>
      <c r="Q338" s="545">
        <f t="shared" si="162"/>
        <v>0</v>
      </c>
      <c r="R338" s="545">
        <f t="shared" si="172"/>
        <v>0</v>
      </c>
      <c r="S338" s="545">
        <f t="shared" si="164"/>
        <v>0</v>
      </c>
      <c r="T338" s="545">
        <f t="shared" si="165"/>
        <v>0</v>
      </c>
      <c r="U338" s="545">
        <f t="shared" si="166"/>
        <v>0</v>
      </c>
      <c r="V338" s="545">
        <f t="shared" si="167"/>
        <v>15000</v>
      </c>
    </row>
    <row r="339" spans="1:22">
      <c r="A339" s="876"/>
      <c r="B339" s="876"/>
      <c r="C339" s="911"/>
      <c r="D339" s="912"/>
      <c r="E339" s="876"/>
      <c r="F339" s="876"/>
      <c r="G339" s="911"/>
      <c r="H339" s="876"/>
      <c r="I339" s="877"/>
      <c r="J339" s="876"/>
      <c r="K339" s="876"/>
      <c r="L339" s="878"/>
      <c r="M339" s="878"/>
      <c r="N339" s="876"/>
      <c r="U339" s="545"/>
    </row>
    <row r="340" spans="1:22">
      <c r="A340" s="876"/>
      <c r="B340" s="876"/>
      <c r="C340" s="911"/>
      <c r="D340" s="912"/>
      <c r="E340" s="876"/>
      <c r="F340" s="876"/>
      <c r="G340" s="911"/>
      <c r="H340" s="876"/>
      <c r="I340" s="877"/>
      <c r="J340" s="876"/>
      <c r="K340" s="876"/>
      <c r="L340" s="878"/>
      <c r="M340" s="878"/>
      <c r="N340" s="876"/>
      <c r="U340" s="545"/>
    </row>
    <row r="341" spans="1:22">
      <c r="A341" s="876"/>
      <c r="B341" s="876"/>
      <c r="C341" s="911"/>
      <c r="D341" s="912"/>
      <c r="E341" s="876"/>
      <c r="F341" s="876"/>
      <c r="G341" s="911"/>
      <c r="H341" s="876"/>
      <c r="I341" s="877"/>
      <c r="J341" s="876"/>
      <c r="K341" s="876"/>
      <c r="L341" s="878"/>
      <c r="M341" s="878"/>
      <c r="N341" s="876"/>
      <c r="U341" s="545"/>
    </row>
    <row r="342" spans="1:22">
      <c r="A342" s="876"/>
      <c r="B342" s="876"/>
      <c r="C342" s="911"/>
      <c r="D342" s="912"/>
      <c r="E342" s="876" t="s">
        <v>447</v>
      </c>
      <c r="F342" s="876"/>
      <c r="G342" s="911"/>
      <c r="H342" s="876"/>
      <c r="I342" s="877"/>
      <c r="J342" s="876"/>
      <c r="K342" s="876"/>
      <c r="L342" s="878"/>
      <c r="M342" s="878"/>
      <c r="N342" s="876"/>
      <c r="U342" s="545"/>
    </row>
    <row r="343" spans="1:22">
      <c r="A343" s="876"/>
      <c r="B343" s="876"/>
      <c r="C343" s="911"/>
      <c r="D343" s="912"/>
      <c r="E343" s="876"/>
      <c r="F343" s="876"/>
      <c r="G343" s="911"/>
      <c r="H343" s="876"/>
      <c r="I343" s="877"/>
      <c r="J343" s="876"/>
      <c r="K343" s="876"/>
      <c r="L343" s="878"/>
      <c r="M343" s="878"/>
      <c r="N343" s="876"/>
      <c r="U343" s="545"/>
    </row>
    <row r="344" spans="1:22">
      <c r="A344" s="876"/>
      <c r="B344" s="876"/>
      <c r="C344" s="911"/>
      <c r="D344" s="912"/>
      <c r="E344" s="876"/>
      <c r="F344" s="876"/>
      <c r="G344" s="911"/>
      <c r="H344" s="876"/>
      <c r="I344" s="877"/>
      <c r="J344" s="876"/>
      <c r="K344" s="876"/>
      <c r="L344" s="878"/>
      <c r="M344" s="878"/>
      <c r="N344" s="876"/>
    </row>
    <row r="345" spans="1:22">
      <c r="A345" s="876"/>
      <c r="B345" s="876"/>
      <c r="C345" s="911"/>
      <c r="D345" s="912"/>
      <c r="E345" s="912"/>
      <c r="F345" s="876"/>
      <c r="G345" s="911"/>
      <c r="H345" s="876"/>
      <c r="I345" s="877"/>
      <c r="J345" s="876"/>
      <c r="K345" s="876"/>
      <c r="L345" s="878"/>
      <c r="M345" s="878"/>
      <c r="N345" s="876"/>
    </row>
  </sheetData>
  <mergeCells count="71">
    <mergeCell ref="M28:M29"/>
    <mergeCell ref="M31:M32"/>
    <mergeCell ref="M33:M34"/>
    <mergeCell ref="H72:H73"/>
    <mergeCell ref="H75:H76"/>
    <mergeCell ref="H57:H58"/>
    <mergeCell ref="H28:H29"/>
    <mergeCell ref="H31:H32"/>
    <mergeCell ref="H33:H34"/>
    <mergeCell ref="L296:L297"/>
    <mergeCell ref="H226:H229"/>
    <mergeCell ref="L157:M157"/>
    <mergeCell ref="H184:H188"/>
    <mergeCell ref="H176:H178"/>
    <mergeCell ref="H189:H194"/>
    <mergeCell ref="H195:H200"/>
    <mergeCell ref="H103:H104"/>
    <mergeCell ref="H105:H106"/>
    <mergeCell ref="H109:H110"/>
    <mergeCell ref="H116:H117"/>
    <mergeCell ref="M83:M84"/>
    <mergeCell ref="M101:M102"/>
    <mergeCell ref="M103:M104"/>
    <mergeCell ref="M105:M106"/>
    <mergeCell ref="M109:M110"/>
    <mergeCell ref="H101:H102"/>
    <mergeCell ref="M94:M95"/>
    <mergeCell ref="M86:M87"/>
    <mergeCell ref="H88:H90"/>
    <mergeCell ref="M88:M90"/>
    <mergeCell ref="H91:H92"/>
    <mergeCell ref="M91:M92"/>
    <mergeCell ref="H26:H27"/>
    <mergeCell ref="H77:H78"/>
    <mergeCell ref="H86:H87"/>
    <mergeCell ref="H94:H95"/>
    <mergeCell ref="H66:H67"/>
    <mergeCell ref="H83:H84"/>
    <mergeCell ref="M22:M23"/>
    <mergeCell ref="M24:M25"/>
    <mergeCell ref="H17:H18"/>
    <mergeCell ref="H19:H20"/>
    <mergeCell ref="H22:H23"/>
    <mergeCell ref="H24:H25"/>
    <mergeCell ref="M26:M27"/>
    <mergeCell ref="M11:M12"/>
    <mergeCell ref="M13:M14"/>
    <mergeCell ref="H118:H119"/>
    <mergeCell ref="M118:M119"/>
    <mergeCell ref="H70:H71"/>
    <mergeCell ref="H68:H69"/>
    <mergeCell ref="H11:H12"/>
    <mergeCell ref="H13:H14"/>
    <mergeCell ref="H15:H16"/>
    <mergeCell ref="H63:H64"/>
    <mergeCell ref="H61:H62"/>
    <mergeCell ref="H59:H60"/>
    <mergeCell ref="M15:M16"/>
    <mergeCell ref="M17:M18"/>
    <mergeCell ref="M19:M20"/>
    <mergeCell ref="A5:C5"/>
    <mergeCell ref="H8:M8"/>
    <mergeCell ref="A1:N1"/>
    <mergeCell ref="A2:N2"/>
    <mergeCell ref="A3:C3"/>
    <mergeCell ref="D3:D4"/>
    <mergeCell ref="E3:E4"/>
    <mergeCell ref="F3:F4"/>
    <mergeCell ref="G3:G4"/>
    <mergeCell ref="H3:M4"/>
    <mergeCell ref="N3:N4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43" fitToHeight="0" orientation="landscape" r:id="rId1"/>
  <headerFooter alignWithMargins="0"/>
  <rowBreaks count="5" manualBreakCount="5">
    <brk id="80" max="13" man="1"/>
    <brk id="212" max="13" man="1"/>
    <brk id="248" max="13" man="1"/>
    <brk id="282" max="13" man="1"/>
    <brk id="31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03AA-DC91-4AED-9525-5618858DAF9B}">
  <sheetPr>
    <pageSetUpPr fitToPage="1"/>
  </sheetPr>
  <dimension ref="A1:R103"/>
  <sheetViews>
    <sheetView view="pageBreakPreview" zoomScaleNormal="100" zoomScaleSheetLayoutView="100" workbookViewId="0">
      <selection activeCell="G18" sqref="G18"/>
    </sheetView>
  </sheetViews>
  <sheetFormatPr defaultRowHeight="13.5"/>
  <cols>
    <col min="1" max="1" width="13.33203125" customWidth="1"/>
    <col min="2" max="2" width="13.33203125" style="26" customWidth="1"/>
    <col min="3" max="14" width="13.33203125" customWidth="1"/>
    <col min="16" max="16" width="12.44140625" customWidth="1"/>
    <col min="17" max="17" width="13.77734375" bestFit="1" customWidth="1"/>
    <col min="258" max="270" width="13.33203125" customWidth="1"/>
    <col min="514" max="526" width="13.33203125" customWidth="1"/>
    <col min="770" max="782" width="13.33203125" customWidth="1"/>
    <col min="1026" max="1038" width="13.33203125" customWidth="1"/>
    <col min="1282" max="1294" width="13.33203125" customWidth="1"/>
    <col min="1538" max="1550" width="13.33203125" customWidth="1"/>
    <col min="1794" max="1806" width="13.33203125" customWidth="1"/>
    <col min="2050" max="2062" width="13.33203125" customWidth="1"/>
    <col min="2306" max="2318" width="13.33203125" customWidth="1"/>
    <col min="2562" max="2574" width="13.33203125" customWidth="1"/>
    <col min="2818" max="2830" width="13.33203125" customWidth="1"/>
    <col min="3074" max="3086" width="13.33203125" customWidth="1"/>
    <col min="3330" max="3342" width="13.33203125" customWidth="1"/>
    <col min="3586" max="3598" width="13.33203125" customWidth="1"/>
    <col min="3842" max="3854" width="13.33203125" customWidth="1"/>
    <col min="4098" max="4110" width="13.33203125" customWidth="1"/>
    <col min="4354" max="4366" width="13.33203125" customWidth="1"/>
    <col min="4610" max="4622" width="13.33203125" customWidth="1"/>
    <col min="4866" max="4878" width="13.33203125" customWidth="1"/>
    <col min="5122" max="5134" width="13.33203125" customWidth="1"/>
    <col min="5378" max="5390" width="13.33203125" customWidth="1"/>
    <col min="5634" max="5646" width="13.33203125" customWidth="1"/>
    <col min="5890" max="5902" width="13.33203125" customWidth="1"/>
    <col min="6146" max="6158" width="13.33203125" customWidth="1"/>
    <col min="6402" max="6414" width="13.33203125" customWidth="1"/>
    <col min="6658" max="6670" width="13.33203125" customWidth="1"/>
    <col min="6914" max="6926" width="13.33203125" customWidth="1"/>
    <col min="7170" max="7182" width="13.33203125" customWidth="1"/>
    <col min="7426" max="7438" width="13.33203125" customWidth="1"/>
    <col min="7682" max="7694" width="13.33203125" customWidth="1"/>
    <col min="7938" max="7950" width="13.33203125" customWidth="1"/>
    <col min="8194" max="8206" width="13.33203125" customWidth="1"/>
    <col min="8450" max="8462" width="13.33203125" customWidth="1"/>
    <col min="8706" max="8718" width="13.33203125" customWidth="1"/>
    <col min="8962" max="8974" width="13.33203125" customWidth="1"/>
    <col min="9218" max="9230" width="13.33203125" customWidth="1"/>
    <col min="9474" max="9486" width="13.33203125" customWidth="1"/>
    <col min="9730" max="9742" width="13.33203125" customWidth="1"/>
    <col min="9986" max="9998" width="13.33203125" customWidth="1"/>
    <col min="10242" max="10254" width="13.33203125" customWidth="1"/>
    <col min="10498" max="10510" width="13.33203125" customWidth="1"/>
    <col min="10754" max="10766" width="13.33203125" customWidth="1"/>
    <col min="11010" max="11022" width="13.33203125" customWidth="1"/>
    <col min="11266" max="11278" width="13.33203125" customWidth="1"/>
    <col min="11522" max="11534" width="13.33203125" customWidth="1"/>
    <col min="11778" max="11790" width="13.33203125" customWidth="1"/>
    <col min="12034" max="12046" width="13.33203125" customWidth="1"/>
    <col min="12290" max="12302" width="13.33203125" customWidth="1"/>
    <col min="12546" max="12558" width="13.33203125" customWidth="1"/>
    <col min="12802" max="12814" width="13.33203125" customWidth="1"/>
    <col min="13058" max="13070" width="13.33203125" customWidth="1"/>
    <col min="13314" max="13326" width="13.33203125" customWidth="1"/>
    <col min="13570" max="13582" width="13.33203125" customWidth="1"/>
    <col min="13826" max="13838" width="13.33203125" customWidth="1"/>
    <col min="14082" max="14094" width="13.33203125" customWidth="1"/>
    <col min="14338" max="14350" width="13.33203125" customWidth="1"/>
    <col min="14594" max="14606" width="13.33203125" customWidth="1"/>
    <col min="14850" max="14862" width="13.33203125" customWidth="1"/>
    <col min="15106" max="15118" width="13.33203125" customWidth="1"/>
    <col min="15362" max="15374" width="13.33203125" customWidth="1"/>
    <col min="15618" max="15630" width="13.33203125" customWidth="1"/>
    <col min="15874" max="15886" width="13.33203125" customWidth="1"/>
    <col min="16130" max="16142" width="13.33203125" customWidth="1"/>
  </cols>
  <sheetData>
    <row r="1" spans="1:17" ht="22.5">
      <c r="A1" s="1315" t="s">
        <v>0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</row>
    <row r="2" spans="1:17" ht="2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8.75">
      <c r="A3" s="1316" t="s">
        <v>632</v>
      </c>
      <c r="B3" s="1316"/>
      <c r="C3" s="1316"/>
      <c r="D3" s="1316"/>
      <c r="E3" s="1316"/>
      <c r="F3" s="1316"/>
      <c r="G3" s="1316"/>
      <c r="H3" s="1316"/>
      <c r="I3" s="1316"/>
      <c r="J3" s="1316"/>
      <c r="K3" s="1316"/>
      <c r="L3" s="1316"/>
      <c r="M3" s="1316"/>
    </row>
    <row r="4" spans="1:17" ht="18.7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8.75">
      <c r="A5" s="1316" t="s">
        <v>633</v>
      </c>
      <c r="B5" s="1316"/>
      <c r="C5" s="1316"/>
      <c r="D5" s="1316"/>
      <c r="E5" s="1316"/>
      <c r="F5" s="1316"/>
      <c r="G5" s="1316"/>
      <c r="H5" s="1316"/>
      <c r="I5" s="1316"/>
      <c r="J5" s="1316"/>
      <c r="K5" s="1316"/>
      <c r="L5" s="1316"/>
      <c r="M5" s="1316"/>
    </row>
    <row r="6" spans="1:17" ht="18.75">
      <c r="A6" s="3"/>
      <c r="B6" s="4"/>
      <c r="C6" s="1317"/>
      <c r="D6" s="1317"/>
      <c r="E6" s="1317"/>
      <c r="F6" s="5"/>
      <c r="G6" s="5"/>
      <c r="H6" s="5"/>
      <c r="I6" s="5"/>
      <c r="J6" s="260"/>
      <c r="K6" s="3"/>
      <c r="L6" s="3"/>
    </row>
    <row r="7" spans="1:17">
      <c r="A7" s="1318"/>
      <c r="B7" s="1318"/>
      <c r="C7" s="1318"/>
      <c r="D7" s="1318"/>
      <c r="E7" s="1318"/>
      <c r="F7" s="1318"/>
      <c r="G7" s="1318"/>
      <c r="H7" s="1318"/>
      <c r="I7" s="1318"/>
      <c r="J7" s="1318"/>
      <c r="K7" s="6"/>
      <c r="L7" s="6"/>
    </row>
    <row r="8" spans="1:17" ht="14.25" thickBot="1">
      <c r="A8" s="1319" t="s">
        <v>1</v>
      </c>
      <c r="B8" s="1319"/>
      <c r="C8" s="1319"/>
      <c r="D8" s="1319"/>
      <c r="E8" s="1319"/>
      <c r="F8" s="7"/>
      <c r="G8" s="7"/>
      <c r="H8" s="7"/>
      <c r="I8" s="7"/>
      <c r="J8" s="8"/>
      <c r="K8" s="8"/>
      <c r="L8" s="8"/>
      <c r="M8" s="8"/>
      <c r="N8" s="8" t="s">
        <v>634</v>
      </c>
      <c r="P8" s="40">
        <f>E10-P9</f>
        <v>93959460</v>
      </c>
    </row>
    <row r="9" spans="1:17" ht="23.25" customHeight="1">
      <c r="A9" s="9" t="s">
        <v>542</v>
      </c>
      <c r="B9" s="10" t="s">
        <v>543</v>
      </c>
      <c r="C9" s="10" t="s">
        <v>544</v>
      </c>
      <c r="D9" s="10" t="s">
        <v>2</v>
      </c>
      <c r="E9" s="10" t="s">
        <v>545</v>
      </c>
      <c r="F9" s="10" t="s">
        <v>546</v>
      </c>
      <c r="G9" s="10" t="s">
        <v>547</v>
      </c>
      <c r="H9" s="10" t="s">
        <v>548</v>
      </c>
      <c r="I9" s="10" t="s">
        <v>549</v>
      </c>
      <c r="J9" s="10" t="s">
        <v>550</v>
      </c>
      <c r="K9" s="11" t="s">
        <v>551</v>
      </c>
      <c r="L9" s="11" t="s">
        <v>588</v>
      </c>
      <c r="M9" s="12" t="s">
        <v>552</v>
      </c>
      <c r="N9" s="13" t="s">
        <v>553</v>
      </c>
      <c r="P9">
        <v>668564200</v>
      </c>
    </row>
    <row r="10" spans="1:17" ht="23.25" customHeight="1">
      <c r="A10" s="14" t="s">
        <v>554</v>
      </c>
      <c r="B10" s="15"/>
      <c r="C10" s="15"/>
      <c r="D10" s="15"/>
      <c r="E10" s="16">
        <f>SUM(E11:E25)</f>
        <v>762523660</v>
      </c>
      <c r="F10" s="16">
        <f t="shared" ref="F10:L10" si="0">SUM(F11:F25)</f>
        <v>598896000</v>
      </c>
      <c r="G10" s="16">
        <f t="shared" si="0"/>
        <v>23400000</v>
      </c>
      <c r="H10" s="16">
        <f t="shared" si="0"/>
        <v>9240000</v>
      </c>
      <c r="I10" s="16">
        <f t="shared" si="0"/>
        <v>59600860</v>
      </c>
      <c r="J10" s="16">
        <f t="shared" si="0"/>
        <v>59836800</v>
      </c>
      <c r="K10" s="16">
        <f t="shared" si="0"/>
        <v>2400000</v>
      </c>
      <c r="L10" s="16">
        <f t="shared" si="0"/>
        <v>3650000</v>
      </c>
      <c r="M10" s="16"/>
      <c r="N10" s="17">
        <f>SUM(N11:N25)</f>
        <v>5500000</v>
      </c>
      <c r="P10" s="40">
        <v>69040</v>
      </c>
    </row>
    <row r="11" spans="1:17" ht="23.25" customHeight="1">
      <c r="A11" s="18">
        <v>1</v>
      </c>
      <c r="B11" s="19" t="s">
        <v>555</v>
      </c>
      <c r="C11" s="19" t="s">
        <v>140</v>
      </c>
      <c r="D11" s="19">
        <v>29</v>
      </c>
      <c r="E11" s="20">
        <f>SUM(F11:L11)+N11</f>
        <v>78894400</v>
      </c>
      <c r="F11" s="20">
        <v>67104000</v>
      </c>
      <c r="G11" s="20">
        <v>1560000</v>
      </c>
      <c r="H11" s="20">
        <v>720000</v>
      </c>
      <c r="I11" s="20"/>
      <c r="J11" s="21">
        <v>6710400</v>
      </c>
      <c r="K11" s="21">
        <v>2400000</v>
      </c>
      <c r="L11" s="21"/>
      <c r="M11" s="22" t="s">
        <v>556</v>
      </c>
      <c r="N11" s="23">
        <v>400000</v>
      </c>
    </row>
    <row r="12" spans="1:17" ht="23.25" customHeight="1">
      <c r="A12" s="18">
        <v>2</v>
      </c>
      <c r="B12" s="19" t="s">
        <v>557</v>
      </c>
      <c r="C12" s="19" t="s">
        <v>558</v>
      </c>
      <c r="D12" s="19">
        <v>14</v>
      </c>
      <c r="E12" s="20">
        <f t="shared" ref="E12:E25" si="1">SUM(F12:L12)+N12</f>
        <v>55790500</v>
      </c>
      <c r="F12" s="20">
        <v>44451000</v>
      </c>
      <c r="G12" s="20">
        <v>1560000</v>
      </c>
      <c r="H12" s="20"/>
      <c r="I12" s="20">
        <v>4953300</v>
      </c>
      <c r="J12" s="21">
        <v>4426200</v>
      </c>
      <c r="K12" s="21">
        <v>0</v>
      </c>
      <c r="L12" s="21">
        <v>0</v>
      </c>
      <c r="M12" s="22" t="s">
        <v>559</v>
      </c>
      <c r="N12" s="23">
        <v>400000</v>
      </c>
      <c r="P12" t="s">
        <v>253</v>
      </c>
      <c r="Q12" s="40"/>
    </row>
    <row r="13" spans="1:17" ht="23.25" customHeight="1">
      <c r="A13" s="18">
        <v>3</v>
      </c>
      <c r="B13" s="19" t="s">
        <v>560</v>
      </c>
      <c r="C13" s="19" t="s">
        <v>142</v>
      </c>
      <c r="D13" s="19">
        <v>23</v>
      </c>
      <c r="E13" s="20">
        <f t="shared" si="1"/>
        <v>65309400</v>
      </c>
      <c r="F13" s="20">
        <v>51978000</v>
      </c>
      <c r="G13" s="20">
        <v>1560000</v>
      </c>
      <c r="H13" s="20"/>
      <c r="I13" s="20">
        <v>5763600</v>
      </c>
      <c r="J13" s="21">
        <v>5197800</v>
      </c>
      <c r="K13" s="21">
        <v>0</v>
      </c>
      <c r="L13" s="21">
        <v>410000</v>
      </c>
      <c r="M13" s="22" t="s">
        <v>561</v>
      </c>
      <c r="N13" s="23">
        <v>400000</v>
      </c>
    </row>
    <row r="14" spans="1:17" ht="23.25" customHeight="1">
      <c r="A14" s="18">
        <v>4</v>
      </c>
      <c r="B14" s="19" t="s">
        <v>560</v>
      </c>
      <c r="C14" s="19" t="s">
        <v>143</v>
      </c>
      <c r="D14" s="19">
        <v>19</v>
      </c>
      <c r="E14" s="20">
        <f t="shared" si="1"/>
        <v>62906720</v>
      </c>
      <c r="F14" s="20">
        <v>49092000</v>
      </c>
      <c r="G14" s="20">
        <v>1560000</v>
      </c>
      <c r="H14" s="20">
        <v>1080000</v>
      </c>
      <c r="I14" s="20">
        <v>5452920</v>
      </c>
      <c r="J14" s="21">
        <v>4921800</v>
      </c>
      <c r="K14" s="21">
        <v>0</v>
      </c>
      <c r="L14" s="21">
        <v>400000</v>
      </c>
      <c r="M14" s="22" t="s">
        <v>562</v>
      </c>
      <c r="N14" s="23">
        <v>400000</v>
      </c>
    </row>
    <row r="15" spans="1:17" ht="23.25" customHeight="1">
      <c r="A15" s="18">
        <v>5</v>
      </c>
      <c r="B15" s="19" t="s">
        <v>560</v>
      </c>
      <c r="C15" s="19" t="s">
        <v>144</v>
      </c>
      <c r="D15" s="19">
        <v>21</v>
      </c>
      <c r="E15" s="20">
        <f t="shared" si="1"/>
        <v>63832010</v>
      </c>
      <c r="F15" s="20">
        <v>50362000</v>
      </c>
      <c r="G15" s="20">
        <v>1560000</v>
      </c>
      <c r="H15" s="20">
        <v>480000</v>
      </c>
      <c r="I15" s="20">
        <v>5589610</v>
      </c>
      <c r="J15" s="21">
        <v>5030400</v>
      </c>
      <c r="K15" s="21">
        <v>0</v>
      </c>
      <c r="L15" s="21">
        <v>410000</v>
      </c>
      <c r="M15" s="22" t="s">
        <v>563</v>
      </c>
      <c r="N15" s="23">
        <v>400000</v>
      </c>
    </row>
    <row r="16" spans="1:17" ht="23.25" customHeight="1">
      <c r="A16" s="18">
        <v>6</v>
      </c>
      <c r="B16" s="24" t="s">
        <v>564</v>
      </c>
      <c r="C16" s="25" t="s">
        <v>145</v>
      </c>
      <c r="D16" s="19">
        <v>12</v>
      </c>
      <c r="E16" s="20">
        <f t="shared" si="1"/>
        <v>49456280</v>
      </c>
      <c r="F16" s="20">
        <v>35580000</v>
      </c>
      <c r="G16" s="20">
        <v>1560000</v>
      </c>
      <c r="H16" s="20">
        <v>3960000</v>
      </c>
      <c r="I16" s="20">
        <v>3998280</v>
      </c>
      <c r="J16" s="21">
        <v>3558000</v>
      </c>
      <c r="K16" s="21">
        <v>0</v>
      </c>
      <c r="L16" s="21">
        <v>400000</v>
      </c>
      <c r="M16" s="22" t="s">
        <v>565</v>
      </c>
      <c r="N16" s="23">
        <v>400000</v>
      </c>
    </row>
    <row r="17" spans="1:16" ht="23.25" customHeight="1">
      <c r="A17" s="18">
        <v>7</v>
      </c>
      <c r="B17" s="24" t="s">
        <v>564</v>
      </c>
      <c r="C17" s="25" t="s">
        <v>146</v>
      </c>
      <c r="D17" s="19">
        <v>14</v>
      </c>
      <c r="E17" s="20">
        <f t="shared" si="1"/>
        <v>47340680</v>
      </c>
      <c r="F17" s="20">
        <v>37120000</v>
      </c>
      <c r="G17" s="20">
        <v>1560000</v>
      </c>
      <c r="H17" s="20">
        <v>0</v>
      </c>
      <c r="I17" s="20">
        <v>4164080</v>
      </c>
      <c r="J17" s="21">
        <v>3696600</v>
      </c>
      <c r="K17" s="21">
        <v>0</v>
      </c>
      <c r="L17" s="21">
        <v>400000</v>
      </c>
      <c r="M17" s="22" t="s">
        <v>566</v>
      </c>
      <c r="N17" s="23">
        <v>400000</v>
      </c>
    </row>
    <row r="18" spans="1:16" ht="23.25" customHeight="1">
      <c r="A18" s="18">
        <v>8</v>
      </c>
      <c r="B18" s="24" t="s">
        <v>564</v>
      </c>
      <c r="C18" s="25" t="s">
        <v>21</v>
      </c>
      <c r="D18" s="19">
        <v>14</v>
      </c>
      <c r="E18" s="20">
        <f t="shared" si="1"/>
        <v>47741020</v>
      </c>
      <c r="F18" s="20">
        <v>37530000</v>
      </c>
      <c r="G18" s="20">
        <v>1560000</v>
      </c>
      <c r="H18" s="20">
        <v>0</v>
      </c>
      <c r="I18" s="20">
        <v>4208220</v>
      </c>
      <c r="J18" s="21">
        <v>3742800</v>
      </c>
      <c r="K18" s="21">
        <v>0</v>
      </c>
      <c r="L18" s="21">
        <v>400000</v>
      </c>
      <c r="M18" s="22" t="s">
        <v>620</v>
      </c>
      <c r="N18" s="23">
        <v>300000</v>
      </c>
    </row>
    <row r="19" spans="1:16" ht="23.25" customHeight="1">
      <c r="A19" s="18">
        <v>9</v>
      </c>
      <c r="B19" s="24" t="s">
        <v>564</v>
      </c>
      <c r="C19" s="25" t="s">
        <v>148</v>
      </c>
      <c r="D19" s="19">
        <v>8</v>
      </c>
      <c r="E19" s="20">
        <f t="shared" si="1"/>
        <v>42027690</v>
      </c>
      <c r="F19" s="20">
        <v>31896000</v>
      </c>
      <c r="G19" s="20">
        <v>1560000</v>
      </c>
      <c r="H19" s="20">
        <v>1080000</v>
      </c>
      <c r="I19" s="20">
        <v>3601690</v>
      </c>
      <c r="J19" s="21">
        <v>3180000</v>
      </c>
      <c r="K19" s="21">
        <v>0</v>
      </c>
      <c r="L19" s="21">
        <v>410000</v>
      </c>
      <c r="M19" s="22" t="s">
        <v>563</v>
      </c>
      <c r="N19" s="23">
        <v>300000</v>
      </c>
      <c r="P19" s="40"/>
    </row>
    <row r="20" spans="1:16" ht="23.25" customHeight="1">
      <c r="A20" s="18">
        <v>10</v>
      </c>
      <c r="B20" s="24" t="s">
        <v>567</v>
      </c>
      <c r="C20" s="25" t="s">
        <v>618</v>
      </c>
      <c r="D20" s="19">
        <v>4</v>
      </c>
      <c r="E20" s="20">
        <f t="shared" si="1"/>
        <v>38654960</v>
      </c>
      <c r="F20" s="20">
        <v>29712000</v>
      </c>
      <c r="G20" s="20">
        <v>1560000</v>
      </c>
      <c r="H20" s="20">
        <v>240000</v>
      </c>
      <c r="I20" s="20">
        <v>3366560</v>
      </c>
      <c r="J20" s="21">
        <v>2966400</v>
      </c>
      <c r="K20" s="21">
        <v>0</v>
      </c>
      <c r="L20" s="21">
        <v>410000</v>
      </c>
      <c r="M20" s="22" t="s">
        <v>621</v>
      </c>
      <c r="N20" s="23">
        <v>400000</v>
      </c>
    </row>
    <row r="21" spans="1:16" ht="23.25" customHeight="1">
      <c r="A21" s="18">
        <v>11</v>
      </c>
      <c r="B21" s="24" t="s">
        <v>568</v>
      </c>
      <c r="C21" s="25" t="s">
        <v>150</v>
      </c>
      <c r="D21" s="19">
        <v>16</v>
      </c>
      <c r="E21" s="20">
        <f t="shared" si="1"/>
        <v>49336000</v>
      </c>
      <c r="F21" s="20">
        <v>38892000</v>
      </c>
      <c r="G21" s="20">
        <v>1560000</v>
      </c>
      <c r="H21" s="20">
        <v>240000</v>
      </c>
      <c r="I21" s="20">
        <v>4354800</v>
      </c>
      <c r="J21" s="21">
        <v>3889200</v>
      </c>
      <c r="K21" s="21"/>
      <c r="L21" s="21">
        <v>0</v>
      </c>
      <c r="M21" s="22" t="s">
        <v>565</v>
      </c>
      <c r="N21" s="23">
        <v>400000</v>
      </c>
    </row>
    <row r="22" spans="1:16" ht="23.25" customHeight="1">
      <c r="A22" s="18">
        <v>12</v>
      </c>
      <c r="B22" s="24" t="s">
        <v>569</v>
      </c>
      <c r="C22" s="25" t="s">
        <v>151</v>
      </c>
      <c r="D22" s="19">
        <v>13</v>
      </c>
      <c r="E22" s="20">
        <f t="shared" si="1"/>
        <v>46008200</v>
      </c>
      <c r="F22" s="20">
        <v>35743000</v>
      </c>
      <c r="G22" s="20">
        <v>1560000</v>
      </c>
      <c r="H22" s="20">
        <v>720000</v>
      </c>
      <c r="I22" s="20">
        <v>4015800</v>
      </c>
      <c r="J22" s="21">
        <v>3569400</v>
      </c>
      <c r="K22" s="21">
        <v>0</v>
      </c>
      <c r="L22" s="21">
        <v>0</v>
      </c>
      <c r="M22" s="22" t="s">
        <v>570</v>
      </c>
      <c r="N22" s="1021">
        <v>400000</v>
      </c>
    </row>
    <row r="23" spans="1:16" ht="23.25" customHeight="1">
      <c r="A23" s="18">
        <v>13</v>
      </c>
      <c r="B23" s="25" t="s">
        <v>571</v>
      </c>
      <c r="C23" s="25" t="s">
        <v>572</v>
      </c>
      <c r="D23" s="19">
        <v>4</v>
      </c>
      <c r="E23" s="20">
        <f t="shared" si="1"/>
        <v>37769080</v>
      </c>
      <c r="F23" s="20">
        <v>29592000</v>
      </c>
      <c r="G23" s="20">
        <v>1560000</v>
      </c>
      <c r="H23" s="20">
        <v>0</v>
      </c>
      <c r="I23" s="20">
        <v>3353680</v>
      </c>
      <c r="J23" s="21">
        <v>2963400</v>
      </c>
      <c r="K23" s="1119">
        <v>0</v>
      </c>
      <c r="L23" s="21">
        <v>0</v>
      </c>
      <c r="M23" s="22" t="s">
        <v>628</v>
      </c>
      <c r="N23" s="1021">
        <v>300000</v>
      </c>
    </row>
    <row r="24" spans="1:16" ht="23.25" customHeight="1">
      <c r="A24" s="18">
        <v>14</v>
      </c>
      <c r="B24" s="25" t="s">
        <v>571</v>
      </c>
      <c r="C24" s="25" t="s">
        <v>573</v>
      </c>
      <c r="D24" s="19">
        <v>4</v>
      </c>
      <c r="E24" s="20">
        <f t="shared" si="1"/>
        <v>37663440</v>
      </c>
      <c r="F24" s="20">
        <v>29508000</v>
      </c>
      <c r="G24" s="20">
        <v>1560000</v>
      </c>
      <c r="H24" s="20">
        <v>0</v>
      </c>
      <c r="I24" s="20">
        <v>3344640</v>
      </c>
      <c r="J24" s="1120">
        <v>2950800</v>
      </c>
      <c r="K24" s="1119">
        <v>0</v>
      </c>
      <c r="L24" s="21">
        <v>0</v>
      </c>
      <c r="M24" s="22" t="s">
        <v>565</v>
      </c>
      <c r="N24" s="23">
        <v>300000</v>
      </c>
    </row>
    <row r="25" spans="1:16" ht="23.25" customHeight="1">
      <c r="A25" s="18">
        <v>15</v>
      </c>
      <c r="B25" s="25" t="s">
        <v>574</v>
      </c>
      <c r="C25" s="25" t="s">
        <v>575</v>
      </c>
      <c r="D25" s="19">
        <v>6</v>
      </c>
      <c r="E25" s="20">
        <f t="shared" si="1"/>
        <v>39793280</v>
      </c>
      <c r="F25" s="20">
        <v>30336000</v>
      </c>
      <c r="G25" s="20">
        <v>1560000</v>
      </c>
      <c r="H25" s="20">
        <v>720000</v>
      </c>
      <c r="I25" s="20">
        <v>3433680</v>
      </c>
      <c r="J25" s="21">
        <v>3033600</v>
      </c>
      <c r="K25" s="21">
        <v>0</v>
      </c>
      <c r="L25" s="21">
        <v>410000</v>
      </c>
      <c r="M25" s="22" t="s">
        <v>565</v>
      </c>
      <c r="N25" s="23">
        <v>300000</v>
      </c>
    </row>
    <row r="26" spans="1:16" ht="23.25" customHeight="1">
      <c r="A26" s="1304" t="s">
        <v>25</v>
      </c>
      <c r="B26" s="1305"/>
      <c r="C26" s="1308" t="s">
        <v>619</v>
      </c>
      <c r="D26" s="1309"/>
      <c r="E26" s="1309"/>
      <c r="F26" s="1309"/>
      <c r="G26" s="1309"/>
      <c r="H26" s="1309"/>
      <c r="I26" s="1309"/>
      <c r="J26" s="1309"/>
      <c r="K26" s="1309"/>
      <c r="L26" s="1309"/>
      <c r="M26" s="1309"/>
      <c r="N26" s="1310"/>
    </row>
    <row r="27" spans="1:16" ht="23.25" customHeight="1" thickBot="1">
      <c r="A27" s="1306"/>
      <c r="B27" s="1307"/>
      <c r="C27" s="1311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3"/>
    </row>
    <row r="28" spans="1:16" ht="23.25" customHeight="1"/>
    <row r="29" spans="1:16" ht="23.25" customHeight="1"/>
    <row r="102" spans="5:18" ht="14.25" thickBot="1"/>
    <row r="103" spans="5:18" ht="21" customHeight="1" thickBot="1">
      <c r="E103" s="1314" t="s">
        <v>26</v>
      </c>
      <c r="F103" s="1314"/>
      <c r="G103" s="1314"/>
      <c r="H103" s="1314"/>
      <c r="I103" s="1314"/>
      <c r="J103" s="1314"/>
      <c r="K103" s="27"/>
      <c r="L103" s="27"/>
      <c r="M103" s="28"/>
      <c r="N103" s="28"/>
      <c r="O103" s="28"/>
      <c r="P103" s="28"/>
      <c r="Q103" s="28"/>
      <c r="R103" s="28"/>
    </row>
  </sheetData>
  <mergeCells count="9">
    <mergeCell ref="A26:B27"/>
    <mergeCell ref="C26:N27"/>
    <mergeCell ref="E103:J103"/>
    <mergeCell ref="A1:M1"/>
    <mergeCell ref="A3:M3"/>
    <mergeCell ref="A5:M5"/>
    <mergeCell ref="C6:E6"/>
    <mergeCell ref="A7:J7"/>
    <mergeCell ref="A8:E8"/>
  </mergeCells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C010-F702-4288-9D31-D42C8CE694AB}">
  <sheetPr>
    <tabColor theme="0" tint="-4.9989318521683403E-2"/>
    <pageSetUpPr fitToPage="1"/>
  </sheetPr>
  <dimension ref="A1:P149"/>
  <sheetViews>
    <sheetView view="pageBreakPreview" topLeftCell="A97" zoomScaleNormal="100" zoomScaleSheetLayoutView="100" workbookViewId="0">
      <selection activeCell="F136" sqref="F136"/>
    </sheetView>
  </sheetViews>
  <sheetFormatPr defaultRowHeight="13.5"/>
  <cols>
    <col min="1" max="1" width="8.6640625" style="54" customWidth="1"/>
    <col min="2" max="2" width="7.88671875" style="54" customWidth="1"/>
    <col min="3" max="3" width="13.77734375" style="54" bestFit="1" customWidth="1"/>
    <col min="4" max="4" width="10" style="54" customWidth="1"/>
    <col min="5" max="5" width="10.6640625" style="54" customWidth="1"/>
    <col min="6" max="6" width="21.77734375" style="54" customWidth="1"/>
    <col min="7" max="7" width="12.88671875" style="54" customWidth="1"/>
    <col min="8" max="8" width="11.88671875" style="54" customWidth="1"/>
    <col min="9" max="10" width="12.6640625" style="54" bestFit="1" customWidth="1"/>
    <col min="11" max="11" width="13.88671875" style="54" bestFit="1" customWidth="1"/>
    <col min="12" max="12" width="12.6640625" style="54" customWidth="1"/>
    <col min="13" max="13" width="12.6640625" style="54" bestFit="1" customWidth="1"/>
    <col min="14" max="14" width="14.109375" style="54" bestFit="1" customWidth="1"/>
    <col min="15" max="15" width="8.88671875" style="54"/>
    <col min="16" max="16" width="15.88671875" style="54" customWidth="1"/>
    <col min="17" max="256" width="8.88671875" style="54"/>
    <col min="257" max="257" width="8.6640625" style="54" customWidth="1"/>
    <col min="258" max="258" width="7.88671875" style="54" customWidth="1"/>
    <col min="259" max="259" width="13.77734375" style="54" bestFit="1" customWidth="1"/>
    <col min="260" max="260" width="10" style="54" customWidth="1"/>
    <col min="261" max="261" width="10.6640625" style="54" customWidth="1"/>
    <col min="262" max="262" width="17.88671875" style="54" customWidth="1"/>
    <col min="263" max="263" width="12.88671875" style="54" customWidth="1"/>
    <col min="264" max="264" width="11.88671875" style="54" customWidth="1"/>
    <col min="265" max="266" width="12.6640625" style="54" bestFit="1" customWidth="1"/>
    <col min="267" max="267" width="13.88671875" style="54" bestFit="1" customWidth="1"/>
    <col min="268" max="268" width="12.6640625" style="54" customWidth="1"/>
    <col min="269" max="269" width="12.6640625" style="54" bestFit="1" customWidth="1"/>
    <col min="270" max="270" width="14.109375" style="54" bestFit="1" customWidth="1"/>
    <col min="271" max="271" width="8.88671875" style="54"/>
    <col min="272" max="272" width="15.88671875" style="54" customWidth="1"/>
    <col min="273" max="512" width="8.88671875" style="54"/>
    <col min="513" max="513" width="8.6640625" style="54" customWidth="1"/>
    <col min="514" max="514" width="7.88671875" style="54" customWidth="1"/>
    <col min="515" max="515" width="13.77734375" style="54" bestFit="1" customWidth="1"/>
    <col min="516" max="516" width="10" style="54" customWidth="1"/>
    <col min="517" max="517" width="10.6640625" style="54" customWidth="1"/>
    <col min="518" max="518" width="17.88671875" style="54" customWidth="1"/>
    <col min="519" max="519" width="12.88671875" style="54" customWidth="1"/>
    <col min="520" max="520" width="11.88671875" style="54" customWidth="1"/>
    <col min="521" max="522" width="12.6640625" style="54" bestFit="1" customWidth="1"/>
    <col min="523" max="523" width="13.88671875" style="54" bestFit="1" customWidth="1"/>
    <col min="524" max="524" width="12.6640625" style="54" customWidth="1"/>
    <col min="525" max="525" width="12.6640625" style="54" bestFit="1" customWidth="1"/>
    <col min="526" max="526" width="14.109375" style="54" bestFit="1" customWidth="1"/>
    <col min="527" max="527" width="8.88671875" style="54"/>
    <col min="528" max="528" width="15.88671875" style="54" customWidth="1"/>
    <col min="529" max="768" width="8.88671875" style="54"/>
    <col min="769" max="769" width="8.6640625" style="54" customWidth="1"/>
    <col min="770" max="770" width="7.88671875" style="54" customWidth="1"/>
    <col min="771" max="771" width="13.77734375" style="54" bestFit="1" customWidth="1"/>
    <col min="772" max="772" width="10" style="54" customWidth="1"/>
    <col min="773" max="773" width="10.6640625" style="54" customWidth="1"/>
    <col min="774" max="774" width="17.88671875" style="54" customWidth="1"/>
    <col min="775" max="775" width="12.88671875" style="54" customWidth="1"/>
    <col min="776" max="776" width="11.88671875" style="54" customWidth="1"/>
    <col min="777" max="778" width="12.6640625" style="54" bestFit="1" customWidth="1"/>
    <col min="779" max="779" width="13.88671875" style="54" bestFit="1" customWidth="1"/>
    <col min="780" max="780" width="12.6640625" style="54" customWidth="1"/>
    <col min="781" max="781" width="12.6640625" style="54" bestFit="1" customWidth="1"/>
    <col min="782" max="782" width="14.109375" style="54" bestFit="1" customWidth="1"/>
    <col min="783" max="783" width="8.88671875" style="54"/>
    <col min="784" max="784" width="15.88671875" style="54" customWidth="1"/>
    <col min="785" max="1024" width="8.88671875" style="54"/>
    <col min="1025" max="1025" width="8.6640625" style="54" customWidth="1"/>
    <col min="1026" max="1026" width="7.88671875" style="54" customWidth="1"/>
    <col min="1027" max="1027" width="13.77734375" style="54" bestFit="1" customWidth="1"/>
    <col min="1028" max="1028" width="10" style="54" customWidth="1"/>
    <col min="1029" max="1029" width="10.6640625" style="54" customWidth="1"/>
    <col min="1030" max="1030" width="17.88671875" style="54" customWidth="1"/>
    <col min="1031" max="1031" width="12.88671875" style="54" customWidth="1"/>
    <col min="1032" max="1032" width="11.88671875" style="54" customWidth="1"/>
    <col min="1033" max="1034" width="12.6640625" style="54" bestFit="1" customWidth="1"/>
    <col min="1035" max="1035" width="13.88671875" style="54" bestFit="1" customWidth="1"/>
    <col min="1036" max="1036" width="12.6640625" style="54" customWidth="1"/>
    <col min="1037" max="1037" width="12.6640625" style="54" bestFit="1" customWidth="1"/>
    <col min="1038" max="1038" width="14.109375" style="54" bestFit="1" customWidth="1"/>
    <col min="1039" max="1039" width="8.88671875" style="54"/>
    <col min="1040" max="1040" width="15.88671875" style="54" customWidth="1"/>
    <col min="1041" max="1280" width="8.88671875" style="54"/>
    <col min="1281" max="1281" width="8.6640625" style="54" customWidth="1"/>
    <col min="1282" max="1282" width="7.88671875" style="54" customWidth="1"/>
    <col min="1283" max="1283" width="13.77734375" style="54" bestFit="1" customWidth="1"/>
    <col min="1284" max="1284" width="10" style="54" customWidth="1"/>
    <col min="1285" max="1285" width="10.6640625" style="54" customWidth="1"/>
    <col min="1286" max="1286" width="17.88671875" style="54" customWidth="1"/>
    <col min="1287" max="1287" width="12.88671875" style="54" customWidth="1"/>
    <col min="1288" max="1288" width="11.88671875" style="54" customWidth="1"/>
    <col min="1289" max="1290" width="12.6640625" style="54" bestFit="1" customWidth="1"/>
    <col min="1291" max="1291" width="13.88671875" style="54" bestFit="1" customWidth="1"/>
    <col min="1292" max="1292" width="12.6640625" style="54" customWidth="1"/>
    <col min="1293" max="1293" width="12.6640625" style="54" bestFit="1" customWidth="1"/>
    <col min="1294" max="1294" width="14.109375" style="54" bestFit="1" customWidth="1"/>
    <col min="1295" max="1295" width="8.88671875" style="54"/>
    <col min="1296" max="1296" width="15.88671875" style="54" customWidth="1"/>
    <col min="1297" max="1536" width="8.88671875" style="54"/>
    <col min="1537" max="1537" width="8.6640625" style="54" customWidth="1"/>
    <col min="1538" max="1538" width="7.88671875" style="54" customWidth="1"/>
    <col min="1539" max="1539" width="13.77734375" style="54" bestFit="1" customWidth="1"/>
    <col min="1540" max="1540" width="10" style="54" customWidth="1"/>
    <col min="1541" max="1541" width="10.6640625" style="54" customWidth="1"/>
    <col min="1542" max="1542" width="17.88671875" style="54" customWidth="1"/>
    <col min="1543" max="1543" width="12.88671875" style="54" customWidth="1"/>
    <col min="1544" max="1544" width="11.88671875" style="54" customWidth="1"/>
    <col min="1545" max="1546" width="12.6640625" style="54" bestFit="1" customWidth="1"/>
    <col min="1547" max="1547" width="13.88671875" style="54" bestFit="1" customWidth="1"/>
    <col min="1548" max="1548" width="12.6640625" style="54" customWidth="1"/>
    <col min="1549" max="1549" width="12.6640625" style="54" bestFit="1" customWidth="1"/>
    <col min="1550" max="1550" width="14.109375" style="54" bestFit="1" customWidth="1"/>
    <col min="1551" max="1551" width="8.88671875" style="54"/>
    <col min="1552" max="1552" width="15.88671875" style="54" customWidth="1"/>
    <col min="1553" max="1792" width="8.88671875" style="54"/>
    <col min="1793" max="1793" width="8.6640625" style="54" customWidth="1"/>
    <col min="1794" max="1794" width="7.88671875" style="54" customWidth="1"/>
    <col min="1795" max="1795" width="13.77734375" style="54" bestFit="1" customWidth="1"/>
    <col min="1796" max="1796" width="10" style="54" customWidth="1"/>
    <col min="1797" max="1797" width="10.6640625" style="54" customWidth="1"/>
    <col min="1798" max="1798" width="17.88671875" style="54" customWidth="1"/>
    <col min="1799" max="1799" width="12.88671875" style="54" customWidth="1"/>
    <col min="1800" max="1800" width="11.88671875" style="54" customWidth="1"/>
    <col min="1801" max="1802" width="12.6640625" style="54" bestFit="1" customWidth="1"/>
    <col min="1803" max="1803" width="13.88671875" style="54" bestFit="1" customWidth="1"/>
    <col min="1804" max="1804" width="12.6640625" style="54" customWidth="1"/>
    <col min="1805" max="1805" width="12.6640625" style="54" bestFit="1" customWidth="1"/>
    <col min="1806" max="1806" width="14.109375" style="54" bestFit="1" customWidth="1"/>
    <col min="1807" max="1807" width="8.88671875" style="54"/>
    <col min="1808" max="1808" width="15.88671875" style="54" customWidth="1"/>
    <col min="1809" max="2048" width="8.88671875" style="54"/>
    <col min="2049" max="2049" width="8.6640625" style="54" customWidth="1"/>
    <col min="2050" max="2050" width="7.88671875" style="54" customWidth="1"/>
    <col min="2051" max="2051" width="13.77734375" style="54" bestFit="1" customWidth="1"/>
    <col min="2052" max="2052" width="10" style="54" customWidth="1"/>
    <col min="2053" max="2053" width="10.6640625" style="54" customWidth="1"/>
    <col min="2054" max="2054" width="17.88671875" style="54" customWidth="1"/>
    <col min="2055" max="2055" width="12.88671875" style="54" customWidth="1"/>
    <col min="2056" max="2056" width="11.88671875" style="54" customWidth="1"/>
    <col min="2057" max="2058" width="12.6640625" style="54" bestFit="1" customWidth="1"/>
    <col min="2059" max="2059" width="13.88671875" style="54" bestFit="1" customWidth="1"/>
    <col min="2060" max="2060" width="12.6640625" style="54" customWidth="1"/>
    <col min="2061" max="2061" width="12.6640625" style="54" bestFit="1" customWidth="1"/>
    <col min="2062" max="2062" width="14.109375" style="54" bestFit="1" customWidth="1"/>
    <col min="2063" max="2063" width="8.88671875" style="54"/>
    <col min="2064" max="2064" width="15.88671875" style="54" customWidth="1"/>
    <col min="2065" max="2304" width="8.88671875" style="54"/>
    <col min="2305" max="2305" width="8.6640625" style="54" customWidth="1"/>
    <col min="2306" max="2306" width="7.88671875" style="54" customWidth="1"/>
    <col min="2307" max="2307" width="13.77734375" style="54" bestFit="1" customWidth="1"/>
    <col min="2308" max="2308" width="10" style="54" customWidth="1"/>
    <col min="2309" max="2309" width="10.6640625" style="54" customWidth="1"/>
    <col min="2310" max="2310" width="17.88671875" style="54" customWidth="1"/>
    <col min="2311" max="2311" width="12.88671875" style="54" customWidth="1"/>
    <col min="2312" max="2312" width="11.88671875" style="54" customWidth="1"/>
    <col min="2313" max="2314" width="12.6640625" style="54" bestFit="1" customWidth="1"/>
    <col min="2315" max="2315" width="13.88671875" style="54" bestFit="1" customWidth="1"/>
    <col min="2316" max="2316" width="12.6640625" style="54" customWidth="1"/>
    <col min="2317" max="2317" width="12.6640625" style="54" bestFit="1" customWidth="1"/>
    <col min="2318" max="2318" width="14.109375" style="54" bestFit="1" customWidth="1"/>
    <col min="2319" max="2319" width="8.88671875" style="54"/>
    <col min="2320" max="2320" width="15.88671875" style="54" customWidth="1"/>
    <col min="2321" max="2560" width="8.88671875" style="54"/>
    <col min="2561" max="2561" width="8.6640625" style="54" customWidth="1"/>
    <col min="2562" max="2562" width="7.88671875" style="54" customWidth="1"/>
    <col min="2563" max="2563" width="13.77734375" style="54" bestFit="1" customWidth="1"/>
    <col min="2564" max="2564" width="10" style="54" customWidth="1"/>
    <col min="2565" max="2565" width="10.6640625" style="54" customWidth="1"/>
    <col min="2566" max="2566" width="17.88671875" style="54" customWidth="1"/>
    <col min="2567" max="2567" width="12.88671875" style="54" customWidth="1"/>
    <col min="2568" max="2568" width="11.88671875" style="54" customWidth="1"/>
    <col min="2569" max="2570" width="12.6640625" style="54" bestFit="1" customWidth="1"/>
    <col min="2571" max="2571" width="13.88671875" style="54" bestFit="1" customWidth="1"/>
    <col min="2572" max="2572" width="12.6640625" style="54" customWidth="1"/>
    <col min="2573" max="2573" width="12.6640625" style="54" bestFit="1" customWidth="1"/>
    <col min="2574" max="2574" width="14.109375" style="54" bestFit="1" customWidth="1"/>
    <col min="2575" max="2575" width="8.88671875" style="54"/>
    <col min="2576" max="2576" width="15.88671875" style="54" customWidth="1"/>
    <col min="2577" max="2816" width="8.88671875" style="54"/>
    <col min="2817" max="2817" width="8.6640625" style="54" customWidth="1"/>
    <col min="2818" max="2818" width="7.88671875" style="54" customWidth="1"/>
    <col min="2819" max="2819" width="13.77734375" style="54" bestFit="1" customWidth="1"/>
    <col min="2820" max="2820" width="10" style="54" customWidth="1"/>
    <col min="2821" max="2821" width="10.6640625" style="54" customWidth="1"/>
    <col min="2822" max="2822" width="17.88671875" style="54" customWidth="1"/>
    <col min="2823" max="2823" width="12.88671875" style="54" customWidth="1"/>
    <col min="2824" max="2824" width="11.88671875" style="54" customWidth="1"/>
    <col min="2825" max="2826" width="12.6640625" style="54" bestFit="1" customWidth="1"/>
    <col min="2827" max="2827" width="13.88671875" style="54" bestFit="1" customWidth="1"/>
    <col min="2828" max="2828" width="12.6640625" style="54" customWidth="1"/>
    <col min="2829" max="2829" width="12.6640625" style="54" bestFit="1" customWidth="1"/>
    <col min="2830" max="2830" width="14.109375" style="54" bestFit="1" customWidth="1"/>
    <col min="2831" max="2831" width="8.88671875" style="54"/>
    <col min="2832" max="2832" width="15.88671875" style="54" customWidth="1"/>
    <col min="2833" max="3072" width="8.88671875" style="54"/>
    <col min="3073" max="3073" width="8.6640625" style="54" customWidth="1"/>
    <col min="3074" max="3074" width="7.88671875" style="54" customWidth="1"/>
    <col min="3075" max="3075" width="13.77734375" style="54" bestFit="1" customWidth="1"/>
    <col min="3076" max="3076" width="10" style="54" customWidth="1"/>
    <col min="3077" max="3077" width="10.6640625" style="54" customWidth="1"/>
    <col min="3078" max="3078" width="17.88671875" style="54" customWidth="1"/>
    <col min="3079" max="3079" width="12.88671875" style="54" customWidth="1"/>
    <col min="3080" max="3080" width="11.88671875" style="54" customWidth="1"/>
    <col min="3081" max="3082" width="12.6640625" style="54" bestFit="1" customWidth="1"/>
    <col min="3083" max="3083" width="13.88671875" style="54" bestFit="1" customWidth="1"/>
    <col min="3084" max="3084" width="12.6640625" style="54" customWidth="1"/>
    <col min="3085" max="3085" width="12.6640625" style="54" bestFit="1" customWidth="1"/>
    <col min="3086" max="3086" width="14.109375" style="54" bestFit="1" customWidth="1"/>
    <col min="3087" max="3087" width="8.88671875" style="54"/>
    <col min="3088" max="3088" width="15.88671875" style="54" customWidth="1"/>
    <col min="3089" max="3328" width="8.88671875" style="54"/>
    <col min="3329" max="3329" width="8.6640625" style="54" customWidth="1"/>
    <col min="3330" max="3330" width="7.88671875" style="54" customWidth="1"/>
    <col min="3331" max="3331" width="13.77734375" style="54" bestFit="1" customWidth="1"/>
    <col min="3332" max="3332" width="10" style="54" customWidth="1"/>
    <col min="3333" max="3333" width="10.6640625" style="54" customWidth="1"/>
    <col min="3334" max="3334" width="17.88671875" style="54" customWidth="1"/>
    <col min="3335" max="3335" width="12.88671875" style="54" customWidth="1"/>
    <col min="3336" max="3336" width="11.88671875" style="54" customWidth="1"/>
    <col min="3337" max="3338" width="12.6640625" style="54" bestFit="1" customWidth="1"/>
    <col min="3339" max="3339" width="13.88671875" style="54" bestFit="1" customWidth="1"/>
    <col min="3340" max="3340" width="12.6640625" style="54" customWidth="1"/>
    <col min="3341" max="3341" width="12.6640625" style="54" bestFit="1" customWidth="1"/>
    <col min="3342" max="3342" width="14.109375" style="54" bestFit="1" customWidth="1"/>
    <col min="3343" max="3343" width="8.88671875" style="54"/>
    <col min="3344" max="3344" width="15.88671875" style="54" customWidth="1"/>
    <col min="3345" max="3584" width="8.88671875" style="54"/>
    <col min="3585" max="3585" width="8.6640625" style="54" customWidth="1"/>
    <col min="3586" max="3586" width="7.88671875" style="54" customWidth="1"/>
    <col min="3587" max="3587" width="13.77734375" style="54" bestFit="1" customWidth="1"/>
    <col min="3588" max="3588" width="10" style="54" customWidth="1"/>
    <col min="3589" max="3589" width="10.6640625" style="54" customWidth="1"/>
    <col min="3590" max="3590" width="17.88671875" style="54" customWidth="1"/>
    <col min="3591" max="3591" width="12.88671875" style="54" customWidth="1"/>
    <col min="3592" max="3592" width="11.88671875" style="54" customWidth="1"/>
    <col min="3593" max="3594" width="12.6640625" style="54" bestFit="1" customWidth="1"/>
    <col min="3595" max="3595" width="13.88671875" style="54" bestFit="1" customWidth="1"/>
    <col min="3596" max="3596" width="12.6640625" style="54" customWidth="1"/>
    <col min="3597" max="3597" width="12.6640625" style="54" bestFit="1" customWidth="1"/>
    <col min="3598" max="3598" width="14.109375" style="54" bestFit="1" customWidth="1"/>
    <col min="3599" max="3599" width="8.88671875" style="54"/>
    <col min="3600" max="3600" width="15.88671875" style="54" customWidth="1"/>
    <col min="3601" max="3840" width="8.88671875" style="54"/>
    <col min="3841" max="3841" width="8.6640625" style="54" customWidth="1"/>
    <col min="3842" max="3842" width="7.88671875" style="54" customWidth="1"/>
    <col min="3843" max="3843" width="13.77734375" style="54" bestFit="1" customWidth="1"/>
    <col min="3844" max="3844" width="10" style="54" customWidth="1"/>
    <col min="3845" max="3845" width="10.6640625" style="54" customWidth="1"/>
    <col min="3846" max="3846" width="17.88671875" style="54" customWidth="1"/>
    <col min="3847" max="3847" width="12.88671875" style="54" customWidth="1"/>
    <col min="3848" max="3848" width="11.88671875" style="54" customWidth="1"/>
    <col min="3849" max="3850" width="12.6640625" style="54" bestFit="1" customWidth="1"/>
    <col min="3851" max="3851" width="13.88671875" style="54" bestFit="1" customWidth="1"/>
    <col min="3852" max="3852" width="12.6640625" style="54" customWidth="1"/>
    <col min="3853" max="3853" width="12.6640625" style="54" bestFit="1" customWidth="1"/>
    <col min="3854" max="3854" width="14.109375" style="54" bestFit="1" customWidth="1"/>
    <col min="3855" max="3855" width="8.88671875" style="54"/>
    <col min="3856" max="3856" width="15.88671875" style="54" customWidth="1"/>
    <col min="3857" max="4096" width="8.88671875" style="54"/>
    <col min="4097" max="4097" width="8.6640625" style="54" customWidth="1"/>
    <col min="4098" max="4098" width="7.88671875" style="54" customWidth="1"/>
    <col min="4099" max="4099" width="13.77734375" style="54" bestFit="1" customWidth="1"/>
    <col min="4100" max="4100" width="10" style="54" customWidth="1"/>
    <col min="4101" max="4101" width="10.6640625" style="54" customWidth="1"/>
    <col min="4102" max="4102" width="17.88671875" style="54" customWidth="1"/>
    <col min="4103" max="4103" width="12.88671875" style="54" customWidth="1"/>
    <col min="4104" max="4104" width="11.88671875" style="54" customWidth="1"/>
    <col min="4105" max="4106" width="12.6640625" style="54" bestFit="1" customWidth="1"/>
    <col min="4107" max="4107" width="13.88671875" style="54" bestFit="1" customWidth="1"/>
    <col min="4108" max="4108" width="12.6640625" style="54" customWidth="1"/>
    <col min="4109" max="4109" width="12.6640625" style="54" bestFit="1" customWidth="1"/>
    <col min="4110" max="4110" width="14.109375" style="54" bestFit="1" customWidth="1"/>
    <col min="4111" max="4111" width="8.88671875" style="54"/>
    <col min="4112" max="4112" width="15.88671875" style="54" customWidth="1"/>
    <col min="4113" max="4352" width="8.88671875" style="54"/>
    <col min="4353" max="4353" width="8.6640625" style="54" customWidth="1"/>
    <col min="4354" max="4354" width="7.88671875" style="54" customWidth="1"/>
    <col min="4355" max="4355" width="13.77734375" style="54" bestFit="1" customWidth="1"/>
    <col min="4356" max="4356" width="10" style="54" customWidth="1"/>
    <col min="4357" max="4357" width="10.6640625" style="54" customWidth="1"/>
    <col min="4358" max="4358" width="17.88671875" style="54" customWidth="1"/>
    <col min="4359" max="4359" width="12.88671875" style="54" customWidth="1"/>
    <col min="4360" max="4360" width="11.88671875" style="54" customWidth="1"/>
    <col min="4361" max="4362" width="12.6640625" style="54" bestFit="1" customWidth="1"/>
    <col min="4363" max="4363" width="13.88671875" style="54" bestFit="1" customWidth="1"/>
    <col min="4364" max="4364" width="12.6640625" style="54" customWidth="1"/>
    <col min="4365" max="4365" width="12.6640625" style="54" bestFit="1" customWidth="1"/>
    <col min="4366" max="4366" width="14.109375" style="54" bestFit="1" customWidth="1"/>
    <col min="4367" max="4367" width="8.88671875" style="54"/>
    <col min="4368" max="4368" width="15.88671875" style="54" customWidth="1"/>
    <col min="4369" max="4608" width="8.88671875" style="54"/>
    <col min="4609" max="4609" width="8.6640625" style="54" customWidth="1"/>
    <col min="4610" max="4610" width="7.88671875" style="54" customWidth="1"/>
    <col min="4611" max="4611" width="13.77734375" style="54" bestFit="1" customWidth="1"/>
    <col min="4612" max="4612" width="10" style="54" customWidth="1"/>
    <col min="4613" max="4613" width="10.6640625" style="54" customWidth="1"/>
    <col min="4614" max="4614" width="17.88671875" style="54" customWidth="1"/>
    <col min="4615" max="4615" width="12.88671875" style="54" customWidth="1"/>
    <col min="4616" max="4616" width="11.88671875" style="54" customWidth="1"/>
    <col min="4617" max="4618" width="12.6640625" style="54" bestFit="1" customWidth="1"/>
    <col min="4619" max="4619" width="13.88671875" style="54" bestFit="1" customWidth="1"/>
    <col min="4620" max="4620" width="12.6640625" style="54" customWidth="1"/>
    <col min="4621" max="4621" width="12.6640625" style="54" bestFit="1" customWidth="1"/>
    <col min="4622" max="4622" width="14.109375" style="54" bestFit="1" customWidth="1"/>
    <col min="4623" max="4623" width="8.88671875" style="54"/>
    <col min="4624" max="4624" width="15.88671875" style="54" customWidth="1"/>
    <col min="4625" max="4864" width="8.88671875" style="54"/>
    <col min="4865" max="4865" width="8.6640625" style="54" customWidth="1"/>
    <col min="4866" max="4866" width="7.88671875" style="54" customWidth="1"/>
    <col min="4867" max="4867" width="13.77734375" style="54" bestFit="1" customWidth="1"/>
    <col min="4868" max="4868" width="10" style="54" customWidth="1"/>
    <col min="4869" max="4869" width="10.6640625" style="54" customWidth="1"/>
    <col min="4870" max="4870" width="17.88671875" style="54" customWidth="1"/>
    <col min="4871" max="4871" width="12.88671875" style="54" customWidth="1"/>
    <col min="4872" max="4872" width="11.88671875" style="54" customWidth="1"/>
    <col min="4873" max="4874" width="12.6640625" style="54" bestFit="1" customWidth="1"/>
    <col min="4875" max="4875" width="13.88671875" style="54" bestFit="1" customWidth="1"/>
    <col min="4876" max="4876" width="12.6640625" style="54" customWidth="1"/>
    <col min="4877" max="4877" width="12.6640625" style="54" bestFit="1" customWidth="1"/>
    <col min="4878" max="4878" width="14.109375" style="54" bestFit="1" customWidth="1"/>
    <col min="4879" max="4879" width="8.88671875" style="54"/>
    <col min="4880" max="4880" width="15.88671875" style="54" customWidth="1"/>
    <col min="4881" max="5120" width="8.88671875" style="54"/>
    <col min="5121" max="5121" width="8.6640625" style="54" customWidth="1"/>
    <col min="5122" max="5122" width="7.88671875" style="54" customWidth="1"/>
    <col min="5123" max="5123" width="13.77734375" style="54" bestFit="1" customWidth="1"/>
    <col min="5124" max="5124" width="10" style="54" customWidth="1"/>
    <col min="5125" max="5125" width="10.6640625" style="54" customWidth="1"/>
    <col min="5126" max="5126" width="17.88671875" style="54" customWidth="1"/>
    <col min="5127" max="5127" width="12.88671875" style="54" customWidth="1"/>
    <col min="5128" max="5128" width="11.88671875" style="54" customWidth="1"/>
    <col min="5129" max="5130" width="12.6640625" style="54" bestFit="1" customWidth="1"/>
    <col min="5131" max="5131" width="13.88671875" style="54" bestFit="1" customWidth="1"/>
    <col min="5132" max="5132" width="12.6640625" style="54" customWidth="1"/>
    <col min="5133" max="5133" width="12.6640625" style="54" bestFit="1" customWidth="1"/>
    <col min="5134" max="5134" width="14.109375" style="54" bestFit="1" customWidth="1"/>
    <col min="5135" max="5135" width="8.88671875" style="54"/>
    <col min="5136" max="5136" width="15.88671875" style="54" customWidth="1"/>
    <col min="5137" max="5376" width="8.88671875" style="54"/>
    <col min="5377" max="5377" width="8.6640625" style="54" customWidth="1"/>
    <col min="5378" max="5378" width="7.88671875" style="54" customWidth="1"/>
    <col min="5379" max="5379" width="13.77734375" style="54" bestFit="1" customWidth="1"/>
    <col min="5380" max="5380" width="10" style="54" customWidth="1"/>
    <col min="5381" max="5381" width="10.6640625" style="54" customWidth="1"/>
    <col min="5382" max="5382" width="17.88671875" style="54" customWidth="1"/>
    <col min="5383" max="5383" width="12.88671875" style="54" customWidth="1"/>
    <col min="5384" max="5384" width="11.88671875" style="54" customWidth="1"/>
    <col min="5385" max="5386" width="12.6640625" style="54" bestFit="1" customWidth="1"/>
    <col min="5387" max="5387" width="13.88671875" style="54" bestFit="1" customWidth="1"/>
    <col min="5388" max="5388" width="12.6640625" style="54" customWidth="1"/>
    <col min="5389" max="5389" width="12.6640625" style="54" bestFit="1" customWidth="1"/>
    <col min="5390" max="5390" width="14.109375" style="54" bestFit="1" customWidth="1"/>
    <col min="5391" max="5391" width="8.88671875" style="54"/>
    <col min="5392" max="5392" width="15.88671875" style="54" customWidth="1"/>
    <col min="5393" max="5632" width="8.88671875" style="54"/>
    <col min="5633" max="5633" width="8.6640625" style="54" customWidth="1"/>
    <col min="5634" max="5634" width="7.88671875" style="54" customWidth="1"/>
    <col min="5635" max="5635" width="13.77734375" style="54" bestFit="1" customWidth="1"/>
    <col min="5636" max="5636" width="10" style="54" customWidth="1"/>
    <col min="5637" max="5637" width="10.6640625" style="54" customWidth="1"/>
    <col min="5638" max="5638" width="17.88671875" style="54" customWidth="1"/>
    <col min="5639" max="5639" width="12.88671875" style="54" customWidth="1"/>
    <col min="5640" max="5640" width="11.88671875" style="54" customWidth="1"/>
    <col min="5641" max="5642" width="12.6640625" style="54" bestFit="1" customWidth="1"/>
    <col min="5643" max="5643" width="13.88671875" style="54" bestFit="1" customWidth="1"/>
    <col min="5644" max="5644" width="12.6640625" style="54" customWidth="1"/>
    <col min="5645" max="5645" width="12.6640625" style="54" bestFit="1" customWidth="1"/>
    <col min="5646" max="5646" width="14.109375" style="54" bestFit="1" customWidth="1"/>
    <col min="5647" max="5647" width="8.88671875" style="54"/>
    <col min="5648" max="5648" width="15.88671875" style="54" customWidth="1"/>
    <col min="5649" max="5888" width="8.88671875" style="54"/>
    <col min="5889" max="5889" width="8.6640625" style="54" customWidth="1"/>
    <col min="5890" max="5890" width="7.88671875" style="54" customWidth="1"/>
    <col min="5891" max="5891" width="13.77734375" style="54" bestFit="1" customWidth="1"/>
    <col min="5892" max="5892" width="10" style="54" customWidth="1"/>
    <col min="5893" max="5893" width="10.6640625" style="54" customWidth="1"/>
    <col min="5894" max="5894" width="17.88671875" style="54" customWidth="1"/>
    <col min="5895" max="5895" width="12.88671875" style="54" customWidth="1"/>
    <col min="5896" max="5896" width="11.88671875" style="54" customWidth="1"/>
    <col min="5897" max="5898" width="12.6640625" style="54" bestFit="1" customWidth="1"/>
    <col min="5899" max="5899" width="13.88671875" style="54" bestFit="1" customWidth="1"/>
    <col min="5900" max="5900" width="12.6640625" style="54" customWidth="1"/>
    <col min="5901" max="5901" width="12.6640625" style="54" bestFit="1" customWidth="1"/>
    <col min="5902" max="5902" width="14.109375" style="54" bestFit="1" customWidth="1"/>
    <col min="5903" max="5903" width="8.88671875" style="54"/>
    <col min="5904" max="5904" width="15.88671875" style="54" customWidth="1"/>
    <col min="5905" max="6144" width="8.88671875" style="54"/>
    <col min="6145" max="6145" width="8.6640625" style="54" customWidth="1"/>
    <col min="6146" max="6146" width="7.88671875" style="54" customWidth="1"/>
    <col min="6147" max="6147" width="13.77734375" style="54" bestFit="1" customWidth="1"/>
    <col min="6148" max="6148" width="10" style="54" customWidth="1"/>
    <col min="6149" max="6149" width="10.6640625" style="54" customWidth="1"/>
    <col min="6150" max="6150" width="17.88671875" style="54" customWidth="1"/>
    <col min="6151" max="6151" width="12.88671875" style="54" customWidth="1"/>
    <col min="6152" max="6152" width="11.88671875" style="54" customWidth="1"/>
    <col min="6153" max="6154" width="12.6640625" style="54" bestFit="1" customWidth="1"/>
    <col min="6155" max="6155" width="13.88671875" style="54" bestFit="1" customWidth="1"/>
    <col min="6156" max="6156" width="12.6640625" style="54" customWidth="1"/>
    <col min="6157" max="6157" width="12.6640625" style="54" bestFit="1" customWidth="1"/>
    <col min="6158" max="6158" width="14.109375" style="54" bestFit="1" customWidth="1"/>
    <col min="6159" max="6159" width="8.88671875" style="54"/>
    <col min="6160" max="6160" width="15.88671875" style="54" customWidth="1"/>
    <col min="6161" max="6400" width="8.88671875" style="54"/>
    <col min="6401" max="6401" width="8.6640625" style="54" customWidth="1"/>
    <col min="6402" max="6402" width="7.88671875" style="54" customWidth="1"/>
    <col min="6403" max="6403" width="13.77734375" style="54" bestFit="1" customWidth="1"/>
    <col min="6404" max="6404" width="10" style="54" customWidth="1"/>
    <col min="6405" max="6405" width="10.6640625" style="54" customWidth="1"/>
    <col min="6406" max="6406" width="17.88671875" style="54" customWidth="1"/>
    <col min="6407" max="6407" width="12.88671875" style="54" customWidth="1"/>
    <col min="6408" max="6408" width="11.88671875" style="54" customWidth="1"/>
    <col min="6409" max="6410" width="12.6640625" style="54" bestFit="1" customWidth="1"/>
    <col min="6411" max="6411" width="13.88671875" style="54" bestFit="1" customWidth="1"/>
    <col min="6412" max="6412" width="12.6640625" style="54" customWidth="1"/>
    <col min="6413" max="6413" width="12.6640625" style="54" bestFit="1" customWidth="1"/>
    <col min="6414" max="6414" width="14.109375" style="54" bestFit="1" customWidth="1"/>
    <col min="6415" max="6415" width="8.88671875" style="54"/>
    <col min="6416" max="6416" width="15.88671875" style="54" customWidth="1"/>
    <col min="6417" max="6656" width="8.88671875" style="54"/>
    <col min="6657" max="6657" width="8.6640625" style="54" customWidth="1"/>
    <col min="6658" max="6658" width="7.88671875" style="54" customWidth="1"/>
    <col min="6659" max="6659" width="13.77734375" style="54" bestFit="1" customWidth="1"/>
    <col min="6660" max="6660" width="10" style="54" customWidth="1"/>
    <col min="6661" max="6661" width="10.6640625" style="54" customWidth="1"/>
    <col min="6662" max="6662" width="17.88671875" style="54" customWidth="1"/>
    <col min="6663" max="6663" width="12.88671875" style="54" customWidth="1"/>
    <col min="6664" max="6664" width="11.88671875" style="54" customWidth="1"/>
    <col min="6665" max="6666" width="12.6640625" style="54" bestFit="1" customWidth="1"/>
    <col min="6667" max="6667" width="13.88671875" style="54" bestFit="1" customWidth="1"/>
    <col min="6668" max="6668" width="12.6640625" style="54" customWidth="1"/>
    <col min="6669" max="6669" width="12.6640625" style="54" bestFit="1" customWidth="1"/>
    <col min="6670" max="6670" width="14.109375" style="54" bestFit="1" customWidth="1"/>
    <col min="6671" max="6671" width="8.88671875" style="54"/>
    <col min="6672" max="6672" width="15.88671875" style="54" customWidth="1"/>
    <col min="6673" max="6912" width="8.88671875" style="54"/>
    <col min="6913" max="6913" width="8.6640625" style="54" customWidth="1"/>
    <col min="6914" max="6914" width="7.88671875" style="54" customWidth="1"/>
    <col min="6915" max="6915" width="13.77734375" style="54" bestFit="1" customWidth="1"/>
    <col min="6916" max="6916" width="10" style="54" customWidth="1"/>
    <col min="6917" max="6917" width="10.6640625" style="54" customWidth="1"/>
    <col min="6918" max="6918" width="17.88671875" style="54" customWidth="1"/>
    <col min="6919" max="6919" width="12.88671875" style="54" customWidth="1"/>
    <col min="6920" max="6920" width="11.88671875" style="54" customWidth="1"/>
    <col min="6921" max="6922" width="12.6640625" style="54" bestFit="1" customWidth="1"/>
    <col min="6923" max="6923" width="13.88671875" style="54" bestFit="1" customWidth="1"/>
    <col min="6924" max="6924" width="12.6640625" style="54" customWidth="1"/>
    <col min="6925" max="6925" width="12.6640625" style="54" bestFit="1" customWidth="1"/>
    <col min="6926" max="6926" width="14.109375" style="54" bestFit="1" customWidth="1"/>
    <col min="6927" max="6927" width="8.88671875" style="54"/>
    <col min="6928" max="6928" width="15.88671875" style="54" customWidth="1"/>
    <col min="6929" max="7168" width="8.88671875" style="54"/>
    <col min="7169" max="7169" width="8.6640625" style="54" customWidth="1"/>
    <col min="7170" max="7170" width="7.88671875" style="54" customWidth="1"/>
    <col min="7171" max="7171" width="13.77734375" style="54" bestFit="1" customWidth="1"/>
    <col min="7172" max="7172" width="10" style="54" customWidth="1"/>
    <col min="7173" max="7173" width="10.6640625" style="54" customWidth="1"/>
    <col min="7174" max="7174" width="17.88671875" style="54" customWidth="1"/>
    <col min="7175" max="7175" width="12.88671875" style="54" customWidth="1"/>
    <col min="7176" max="7176" width="11.88671875" style="54" customWidth="1"/>
    <col min="7177" max="7178" width="12.6640625" style="54" bestFit="1" customWidth="1"/>
    <col min="7179" max="7179" width="13.88671875" style="54" bestFit="1" customWidth="1"/>
    <col min="7180" max="7180" width="12.6640625" style="54" customWidth="1"/>
    <col min="7181" max="7181" width="12.6640625" style="54" bestFit="1" customWidth="1"/>
    <col min="7182" max="7182" width="14.109375" style="54" bestFit="1" customWidth="1"/>
    <col min="7183" max="7183" width="8.88671875" style="54"/>
    <col min="7184" max="7184" width="15.88671875" style="54" customWidth="1"/>
    <col min="7185" max="7424" width="8.88671875" style="54"/>
    <col min="7425" max="7425" width="8.6640625" style="54" customWidth="1"/>
    <col min="7426" max="7426" width="7.88671875" style="54" customWidth="1"/>
    <col min="7427" max="7427" width="13.77734375" style="54" bestFit="1" customWidth="1"/>
    <col min="7428" max="7428" width="10" style="54" customWidth="1"/>
    <col min="7429" max="7429" width="10.6640625" style="54" customWidth="1"/>
    <col min="7430" max="7430" width="17.88671875" style="54" customWidth="1"/>
    <col min="7431" max="7431" width="12.88671875" style="54" customWidth="1"/>
    <col min="7432" max="7432" width="11.88671875" style="54" customWidth="1"/>
    <col min="7433" max="7434" width="12.6640625" style="54" bestFit="1" customWidth="1"/>
    <col min="7435" max="7435" width="13.88671875" style="54" bestFit="1" customWidth="1"/>
    <col min="7436" max="7436" width="12.6640625" style="54" customWidth="1"/>
    <col min="7437" max="7437" width="12.6640625" style="54" bestFit="1" customWidth="1"/>
    <col min="7438" max="7438" width="14.109375" style="54" bestFit="1" customWidth="1"/>
    <col min="7439" max="7439" width="8.88671875" style="54"/>
    <col min="7440" max="7440" width="15.88671875" style="54" customWidth="1"/>
    <col min="7441" max="7680" width="8.88671875" style="54"/>
    <col min="7681" max="7681" width="8.6640625" style="54" customWidth="1"/>
    <col min="7682" max="7682" width="7.88671875" style="54" customWidth="1"/>
    <col min="7683" max="7683" width="13.77734375" style="54" bestFit="1" customWidth="1"/>
    <col min="7684" max="7684" width="10" style="54" customWidth="1"/>
    <col min="7685" max="7685" width="10.6640625" style="54" customWidth="1"/>
    <col min="7686" max="7686" width="17.88671875" style="54" customWidth="1"/>
    <col min="7687" max="7687" width="12.88671875" style="54" customWidth="1"/>
    <col min="7688" max="7688" width="11.88671875" style="54" customWidth="1"/>
    <col min="7689" max="7690" width="12.6640625" style="54" bestFit="1" customWidth="1"/>
    <col min="7691" max="7691" width="13.88671875" style="54" bestFit="1" customWidth="1"/>
    <col min="7692" max="7692" width="12.6640625" style="54" customWidth="1"/>
    <col min="7693" max="7693" width="12.6640625" style="54" bestFit="1" customWidth="1"/>
    <col min="7694" max="7694" width="14.109375" style="54" bestFit="1" customWidth="1"/>
    <col min="7695" max="7695" width="8.88671875" style="54"/>
    <col min="7696" max="7696" width="15.88671875" style="54" customWidth="1"/>
    <col min="7697" max="7936" width="8.88671875" style="54"/>
    <col min="7937" max="7937" width="8.6640625" style="54" customWidth="1"/>
    <col min="7938" max="7938" width="7.88671875" style="54" customWidth="1"/>
    <col min="7939" max="7939" width="13.77734375" style="54" bestFit="1" customWidth="1"/>
    <col min="7940" max="7940" width="10" style="54" customWidth="1"/>
    <col min="7941" max="7941" width="10.6640625" style="54" customWidth="1"/>
    <col min="7942" max="7942" width="17.88671875" style="54" customWidth="1"/>
    <col min="7943" max="7943" width="12.88671875" style="54" customWidth="1"/>
    <col min="7944" max="7944" width="11.88671875" style="54" customWidth="1"/>
    <col min="7945" max="7946" width="12.6640625" style="54" bestFit="1" customWidth="1"/>
    <col min="7947" max="7947" width="13.88671875" style="54" bestFit="1" customWidth="1"/>
    <col min="7948" max="7948" width="12.6640625" style="54" customWidth="1"/>
    <col min="7949" max="7949" width="12.6640625" style="54" bestFit="1" customWidth="1"/>
    <col min="7950" max="7950" width="14.109375" style="54" bestFit="1" customWidth="1"/>
    <col min="7951" max="7951" width="8.88671875" style="54"/>
    <col min="7952" max="7952" width="15.88671875" style="54" customWidth="1"/>
    <col min="7953" max="8192" width="8.88671875" style="54"/>
    <col min="8193" max="8193" width="8.6640625" style="54" customWidth="1"/>
    <col min="8194" max="8194" width="7.88671875" style="54" customWidth="1"/>
    <col min="8195" max="8195" width="13.77734375" style="54" bestFit="1" customWidth="1"/>
    <col min="8196" max="8196" width="10" style="54" customWidth="1"/>
    <col min="8197" max="8197" width="10.6640625" style="54" customWidth="1"/>
    <col min="8198" max="8198" width="17.88671875" style="54" customWidth="1"/>
    <col min="8199" max="8199" width="12.88671875" style="54" customWidth="1"/>
    <col min="8200" max="8200" width="11.88671875" style="54" customWidth="1"/>
    <col min="8201" max="8202" width="12.6640625" style="54" bestFit="1" customWidth="1"/>
    <col min="8203" max="8203" width="13.88671875" style="54" bestFit="1" customWidth="1"/>
    <col min="8204" max="8204" width="12.6640625" style="54" customWidth="1"/>
    <col min="8205" max="8205" width="12.6640625" style="54" bestFit="1" customWidth="1"/>
    <col min="8206" max="8206" width="14.109375" style="54" bestFit="1" customWidth="1"/>
    <col min="8207" max="8207" width="8.88671875" style="54"/>
    <col min="8208" max="8208" width="15.88671875" style="54" customWidth="1"/>
    <col min="8209" max="8448" width="8.88671875" style="54"/>
    <col min="8449" max="8449" width="8.6640625" style="54" customWidth="1"/>
    <col min="8450" max="8450" width="7.88671875" style="54" customWidth="1"/>
    <col min="8451" max="8451" width="13.77734375" style="54" bestFit="1" customWidth="1"/>
    <col min="8452" max="8452" width="10" style="54" customWidth="1"/>
    <col min="8453" max="8453" width="10.6640625" style="54" customWidth="1"/>
    <col min="8454" max="8454" width="17.88671875" style="54" customWidth="1"/>
    <col min="8455" max="8455" width="12.88671875" style="54" customWidth="1"/>
    <col min="8456" max="8456" width="11.88671875" style="54" customWidth="1"/>
    <col min="8457" max="8458" width="12.6640625" style="54" bestFit="1" customWidth="1"/>
    <col min="8459" max="8459" width="13.88671875" style="54" bestFit="1" customWidth="1"/>
    <col min="8460" max="8460" width="12.6640625" style="54" customWidth="1"/>
    <col min="8461" max="8461" width="12.6640625" style="54" bestFit="1" customWidth="1"/>
    <col min="8462" max="8462" width="14.109375" style="54" bestFit="1" customWidth="1"/>
    <col min="8463" max="8463" width="8.88671875" style="54"/>
    <col min="8464" max="8464" width="15.88671875" style="54" customWidth="1"/>
    <col min="8465" max="8704" width="8.88671875" style="54"/>
    <col min="8705" max="8705" width="8.6640625" style="54" customWidth="1"/>
    <col min="8706" max="8706" width="7.88671875" style="54" customWidth="1"/>
    <col min="8707" max="8707" width="13.77734375" style="54" bestFit="1" customWidth="1"/>
    <col min="8708" max="8708" width="10" style="54" customWidth="1"/>
    <col min="8709" max="8709" width="10.6640625" style="54" customWidth="1"/>
    <col min="8710" max="8710" width="17.88671875" style="54" customWidth="1"/>
    <col min="8711" max="8711" width="12.88671875" style="54" customWidth="1"/>
    <col min="8712" max="8712" width="11.88671875" style="54" customWidth="1"/>
    <col min="8713" max="8714" width="12.6640625" style="54" bestFit="1" customWidth="1"/>
    <col min="8715" max="8715" width="13.88671875" style="54" bestFit="1" customWidth="1"/>
    <col min="8716" max="8716" width="12.6640625" style="54" customWidth="1"/>
    <col min="8717" max="8717" width="12.6640625" style="54" bestFit="1" customWidth="1"/>
    <col min="8718" max="8718" width="14.109375" style="54" bestFit="1" customWidth="1"/>
    <col min="8719" max="8719" width="8.88671875" style="54"/>
    <col min="8720" max="8720" width="15.88671875" style="54" customWidth="1"/>
    <col min="8721" max="8960" width="8.88671875" style="54"/>
    <col min="8961" max="8961" width="8.6640625" style="54" customWidth="1"/>
    <col min="8962" max="8962" width="7.88671875" style="54" customWidth="1"/>
    <col min="8963" max="8963" width="13.77734375" style="54" bestFit="1" customWidth="1"/>
    <col min="8964" max="8964" width="10" style="54" customWidth="1"/>
    <col min="8965" max="8965" width="10.6640625" style="54" customWidth="1"/>
    <col min="8966" max="8966" width="17.88671875" style="54" customWidth="1"/>
    <col min="8967" max="8967" width="12.88671875" style="54" customWidth="1"/>
    <col min="8968" max="8968" width="11.88671875" style="54" customWidth="1"/>
    <col min="8969" max="8970" width="12.6640625" style="54" bestFit="1" customWidth="1"/>
    <col min="8971" max="8971" width="13.88671875" style="54" bestFit="1" customWidth="1"/>
    <col min="8972" max="8972" width="12.6640625" style="54" customWidth="1"/>
    <col min="8973" max="8973" width="12.6640625" style="54" bestFit="1" customWidth="1"/>
    <col min="8974" max="8974" width="14.109375" style="54" bestFit="1" customWidth="1"/>
    <col min="8975" max="8975" width="8.88671875" style="54"/>
    <col min="8976" max="8976" width="15.88671875" style="54" customWidth="1"/>
    <col min="8977" max="9216" width="8.88671875" style="54"/>
    <col min="9217" max="9217" width="8.6640625" style="54" customWidth="1"/>
    <col min="9218" max="9218" width="7.88671875" style="54" customWidth="1"/>
    <col min="9219" max="9219" width="13.77734375" style="54" bestFit="1" customWidth="1"/>
    <col min="9220" max="9220" width="10" style="54" customWidth="1"/>
    <col min="9221" max="9221" width="10.6640625" style="54" customWidth="1"/>
    <col min="9222" max="9222" width="17.88671875" style="54" customWidth="1"/>
    <col min="9223" max="9223" width="12.88671875" style="54" customWidth="1"/>
    <col min="9224" max="9224" width="11.88671875" style="54" customWidth="1"/>
    <col min="9225" max="9226" width="12.6640625" style="54" bestFit="1" customWidth="1"/>
    <col min="9227" max="9227" width="13.88671875" style="54" bestFit="1" customWidth="1"/>
    <col min="9228" max="9228" width="12.6640625" style="54" customWidth="1"/>
    <col min="9229" max="9229" width="12.6640625" style="54" bestFit="1" customWidth="1"/>
    <col min="9230" max="9230" width="14.109375" style="54" bestFit="1" customWidth="1"/>
    <col min="9231" max="9231" width="8.88671875" style="54"/>
    <col min="9232" max="9232" width="15.88671875" style="54" customWidth="1"/>
    <col min="9233" max="9472" width="8.88671875" style="54"/>
    <col min="9473" max="9473" width="8.6640625" style="54" customWidth="1"/>
    <col min="9474" max="9474" width="7.88671875" style="54" customWidth="1"/>
    <col min="9475" max="9475" width="13.77734375" style="54" bestFit="1" customWidth="1"/>
    <col min="9476" max="9476" width="10" style="54" customWidth="1"/>
    <col min="9477" max="9477" width="10.6640625" style="54" customWidth="1"/>
    <col min="9478" max="9478" width="17.88671875" style="54" customWidth="1"/>
    <col min="9479" max="9479" width="12.88671875" style="54" customWidth="1"/>
    <col min="9480" max="9480" width="11.88671875" style="54" customWidth="1"/>
    <col min="9481" max="9482" width="12.6640625" style="54" bestFit="1" customWidth="1"/>
    <col min="9483" max="9483" width="13.88671875" style="54" bestFit="1" customWidth="1"/>
    <col min="9484" max="9484" width="12.6640625" style="54" customWidth="1"/>
    <col min="9485" max="9485" width="12.6640625" style="54" bestFit="1" customWidth="1"/>
    <col min="9486" max="9486" width="14.109375" style="54" bestFit="1" customWidth="1"/>
    <col min="9487" max="9487" width="8.88671875" style="54"/>
    <col min="9488" max="9488" width="15.88671875" style="54" customWidth="1"/>
    <col min="9489" max="9728" width="8.88671875" style="54"/>
    <col min="9729" max="9729" width="8.6640625" style="54" customWidth="1"/>
    <col min="9730" max="9730" width="7.88671875" style="54" customWidth="1"/>
    <col min="9731" max="9731" width="13.77734375" style="54" bestFit="1" customWidth="1"/>
    <col min="9732" max="9732" width="10" style="54" customWidth="1"/>
    <col min="9733" max="9733" width="10.6640625" style="54" customWidth="1"/>
    <col min="9734" max="9734" width="17.88671875" style="54" customWidth="1"/>
    <col min="9735" max="9735" width="12.88671875" style="54" customWidth="1"/>
    <col min="9736" max="9736" width="11.88671875" style="54" customWidth="1"/>
    <col min="9737" max="9738" width="12.6640625" style="54" bestFit="1" customWidth="1"/>
    <col min="9739" max="9739" width="13.88671875" style="54" bestFit="1" customWidth="1"/>
    <col min="9740" max="9740" width="12.6640625" style="54" customWidth="1"/>
    <col min="9741" max="9741" width="12.6640625" style="54" bestFit="1" customWidth="1"/>
    <col min="9742" max="9742" width="14.109375" style="54" bestFit="1" customWidth="1"/>
    <col min="9743" max="9743" width="8.88671875" style="54"/>
    <col min="9744" max="9744" width="15.88671875" style="54" customWidth="1"/>
    <col min="9745" max="9984" width="8.88671875" style="54"/>
    <col min="9985" max="9985" width="8.6640625" style="54" customWidth="1"/>
    <col min="9986" max="9986" width="7.88671875" style="54" customWidth="1"/>
    <col min="9987" max="9987" width="13.77734375" style="54" bestFit="1" customWidth="1"/>
    <col min="9988" max="9988" width="10" style="54" customWidth="1"/>
    <col min="9989" max="9989" width="10.6640625" style="54" customWidth="1"/>
    <col min="9990" max="9990" width="17.88671875" style="54" customWidth="1"/>
    <col min="9991" max="9991" width="12.88671875" style="54" customWidth="1"/>
    <col min="9992" max="9992" width="11.88671875" style="54" customWidth="1"/>
    <col min="9993" max="9994" width="12.6640625" style="54" bestFit="1" customWidth="1"/>
    <col min="9995" max="9995" width="13.88671875" style="54" bestFit="1" customWidth="1"/>
    <col min="9996" max="9996" width="12.6640625" style="54" customWidth="1"/>
    <col min="9997" max="9997" width="12.6640625" style="54" bestFit="1" customWidth="1"/>
    <col min="9998" max="9998" width="14.109375" style="54" bestFit="1" customWidth="1"/>
    <col min="9999" max="9999" width="8.88671875" style="54"/>
    <col min="10000" max="10000" width="15.88671875" style="54" customWidth="1"/>
    <col min="10001" max="10240" width="8.88671875" style="54"/>
    <col min="10241" max="10241" width="8.6640625" style="54" customWidth="1"/>
    <col min="10242" max="10242" width="7.88671875" style="54" customWidth="1"/>
    <col min="10243" max="10243" width="13.77734375" style="54" bestFit="1" customWidth="1"/>
    <col min="10244" max="10244" width="10" style="54" customWidth="1"/>
    <col min="10245" max="10245" width="10.6640625" style="54" customWidth="1"/>
    <col min="10246" max="10246" width="17.88671875" style="54" customWidth="1"/>
    <col min="10247" max="10247" width="12.88671875" style="54" customWidth="1"/>
    <col min="10248" max="10248" width="11.88671875" style="54" customWidth="1"/>
    <col min="10249" max="10250" width="12.6640625" style="54" bestFit="1" customWidth="1"/>
    <col min="10251" max="10251" width="13.88671875" style="54" bestFit="1" customWidth="1"/>
    <col min="10252" max="10252" width="12.6640625" style="54" customWidth="1"/>
    <col min="10253" max="10253" width="12.6640625" style="54" bestFit="1" customWidth="1"/>
    <col min="10254" max="10254" width="14.109375" style="54" bestFit="1" customWidth="1"/>
    <col min="10255" max="10255" width="8.88671875" style="54"/>
    <col min="10256" max="10256" width="15.88671875" style="54" customWidth="1"/>
    <col min="10257" max="10496" width="8.88671875" style="54"/>
    <col min="10497" max="10497" width="8.6640625" style="54" customWidth="1"/>
    <col min="10498" max="10498" width="7.88671875" style="54" customWidth="1"/>
    <col min="10499" max="10499" width="13.77734375" style="54" bestFit="1" customWidth="1"/>
    <col min="10500" max="10500" width="10" style="54" customWidth="1"/>
    <col min="10501" max="10501" width="10.6640625" style="54" customWidth="1"/>
    <col min="10502" max="10502" width="17.88671875" style="54" customWidth="1"/>
    <col min="10503" max="10503" width="12.88671875" style="54" customWidth="1"/>
    <col min="10504" max="10504" width="11.88671875" style="54" customWidth="1"/>
    <col min="10505" max="10506" width="12.6640625" style="54" bestFit="1" customWidth="1"/>
    <col min="10507" max="10507" width="13.88671875" style="54" bestFit="1" customWidth="1"/>
    <col min="10508" max="10508" width="12.6640625" style="54" customWidth="1"/>
    <col min="10509" max="10509" width="12.6640625" style="54" bestFit="1" customWidth="1"/>
    <col min="10510" max="10510" width="14.109375" style="54" bestFit="1" customWidth="1"/>
    <col min="10511" max="10511" width="8.88671875" style="54"/>
    <col min="10512" max="10512" width="15.88671875" style="54" customWidth="1"/>
    <col min="10513" max="10752" width="8.88671875" style="54"/>
    <col min="10753" max="10753" width="8.6640625" style="54" customWidth="1"/>
    <col min="10754" max="10754" width="7.88671875" style="54" customWidth="1"/>
    <col min="10755" max="10755" width="13.77734375" style="54" bestFit="1" customWidth="1"/>
    <col min="10756" max="10756" width="10" style="54" customWidth="1"/>
    <col min="10757" max="10757" width="10.6640625" style="54" customWidth="1"/>
    <col min="10758" max="10758" width="17.88671875" style="54" customWidth="1"/>
    <col min="10759" max="10759" width="12.88671875" style="54" customWidth="1"/>
    <col min="10760" max="10760" width="11.88671875" style="54" customWidth="1"/>
    <col min="10761" max="10762" width="12.6640625" style="54" bestFit="1" customWidth="1"/>
    <col min="10763" max="10763" width="13.88671875" style="54" bestFit="1" customWidth="1"/>
    <col min="10764" max="10764" width="12.6640625" style="54" customWidth="1"/>
    <col min="10765" max="10765" width="12.6640625" style="54" bestFit="1" customWidth="1"/>
    <col min="10766" max="10766" width="14.109375" style="54" bestFit="1" customWidth="1"/>
    <col min="10767" max="10767" width="8.88671875" style="54"/>
    <col min="10768" max="10768" width="15.88671875" style="54" customWidth="1"/>
    <col min="10769" max="11008" width="8.88671875" style="54"/>
    <col min="11009" max="11009" width="8.6640625" style="54" customWidth="1"/>
    <col min="11010" max="11010" width="7.88671875" style="54" customWidth="1"/>
    <col min="11011" max="11011" width="13.77734375" style="54" bestFit="1" customWidth="1"/>
    <col min="11012" max="11012" width="10" style="54" customWidth="1"/>
    <col min="11013" max="11013" width="10.6640625" style="54" customWidth="1"/>
    <col min="11014" max="11014" width="17.88671875" style="54" customWidth="1"/>
    <col min="11015" max="11015" width="12.88671875" style="54" customWidth="1"/>
    <col min="11016" max="11016" width="11.88671875" style="54" customWidth="1"/>
    <col min="11017" max="11018" width="12.6640625" style="54" bestFit="1" customWidth="1"/>
    <col min="11019" max="11019" width="13.88671875" style="54" bestFit="1" customWidth="1"/>
    <col min="11020" max="11020" width="12.6640625" style="54" customWidth="1"/>
    <col min="11021" max="11021" width="12.6640625" style="54" bestFit="1" customWidth="1"/>
    <col min="11022" max="11022" width="14.109375" style="54" bestFit="1" customWidth="1"/>
    <col min="11023" max="11023" width="8.88671875" style="54"/>
    <col min="11024" max="11024" width="15.88671875" style="54" customWidth="1"/>
    <col min="11025" max="11264" width="8.88671875" style="54"/>
    <col min="11265" max="11265" width="8.6640625" style="54" customWidth="1"/>
    <col min="11266" max="11266" width="7.88671875" style="54" customWidth="1"/>
    <col min="11267" max="11267" width="13.77734375" style="54" bestFit="1" customWidth="1"/>
    <col min="11268" max="11268" width="10" style="54" customWidth="1"/>
    <col min="11269" max="11269" width="10.6640625" style="54" customWidth="1"/>
    <col min="11270" max="11270" width="17.88671875" style="54" customWidth="1"/>
    <col min="11271" max="11271" width="12.88671875" style="54" customWidth="1"/>
    <col min="11272" max="11272" width="11.88671875" style="54" customWidth="1"/>
    <col min="11273" max="11274" width="12.6640625" style="54" bestFit="1" customWidth="1"/>
    <col min="11275" max="11275" width="13.88671875" style="54" bestFit="1" customWidth="1"/>
    <col min="11276" max="11276" width="12.6640625" style="54" customWidth="1"/>
    <col min="11277" max="11277" width="12.6640625" style="54" bestFit="1" customWidth="1"/>
    <col min="11278" max="11278" width="14.109375" style="54" bestFit="1" customWidth="1"/>
    <col min="11279" max="11279" width="8.88671875" style="54"/>
    <col min="11280" max="11280" width="15.88671875" style="54" customWidth="1"/>
    <col min="11281" max="11520" width="8.88671875" style="54"/>
    <col min="11521" max="11521" width="8.6640625" style="54" customWidth="1"/>
    <col min="11522" max="11522" width="7.88671875" style="54" customWidth="1"/>
    <col min="11523" max="11523" width="13.77734375" style="54" bestFit="1" customWidth="1"/>
    <col min="11524" max="11524" width="10" style="54" customWidth="1"/>
    <col min="11525" max="11525" width="10.6640625" style="54" customWidth="1"/>
    <col min="11526" max="11526" width="17.88671875" style="54" customWidth="1"/>
    <col min="11527" max="11527" width="12.88671875" style="54" customWidth="1"/>
    <col min="11528" max="11528" width="11.88671875" style="54" customWidth="1"/>
    <col min="11529" max="11530" width="12.6640625" style="54" bestFit="1" customWidth="1"/>
    <col min="11531" max="11531" width="13.88671875" style="54" bestFit="1" customWidth="1"/>
    <col min="11532" max="11532" width="12.6640625" style="54" customWidth="1"/>
    <col min="11533" max="11533" width="12.6640625" style="54" bestFit="1" customWidth="1"/>
    <col min="11534" max="11534" width="14.109375" style="54" bestFit="1" customWidth="1"/>
    <col min="11535" max="11535" width="8.88671875" style="54"/>
    <col min="11536" max="11536" width="15.88671875" style="54" customWidth="1"/>
    <col min="11537" max="11776" width="8.88671875" style="54"/>
    <col min="11777" max="11777" width="8.6640625" style="54" customWidth="1"/>
    <col min="11778" max="11778" width="7.88671875" style="54" customWidth="1"/>
    <col min="11779" max="11779" width="13.77734375" style="54" bestFit="1" customWidth="1"/>
    <col min="11780" max="11780" width="10" style="54" customWidth="1"/>
    <col min="11781" max="11781" width="10.6640625" style="54" customWidth="1"/>
    <col min="11782" max="11782" width="17.88671875" style="54" customWidth="1"/>
    <col min="11783" max="11783" width="12.88671875" style="54" customWidth="1"/>
    <col min="11784" max="11784" width="11.88671875" style="54" customWidth="1"/>
    <col min="11785" max="11786" width="12.6640625" style="54" bestFit="1" customWidth="1"/>
    <col min="11787" max="11787" width="13.88671875" style="54" bestFit="1" customWidth="1"/>
    <col min="11788" max="11788" width="12.6640625" style="54" customWidth="1"/>
    <col min="11789" max="11789" width="12.6640625" style="54" bestFit="1" customWidth="1"/>
    <col min="11790" max="11790" width="14.109375" style="54" bestFit="1" customWidth="1"/>
    <col min="11791" max="11791" width="8.88671875" style="54"/>
    <col min="11792" max="11792" width="15.88671875" style="54" customWidth="1"/>
    <col min="11793" max="12032" width="8.88671875" style="54"/>
    <col min="12033" max="12033" width="8.6640625" style="54" customWidth="1"/>
    <col min="12034" max="12034" width="7.88671875" style="54" customWidth="1"/>
    <col min="12035" max="12035" width="13.77734375" style="54" bestFit="1" customWidth="1"/>
    <col min="12036" max="12036" width="10" style="54" customWidth="1"/>
    <col min="12037" max="12037" width="10.6640625" style="54" customWidth="1"/>
    <col min="12038" max="12038" width="17.88671875" style="54" customWidth="1"/>
    <col min="12039" max="12039" width="12.88671875" style="54" customWidth="1"/>
    <col min="12040" max="12040" width="11.88671875" style="54" customWidth="1"/>
    <col min="12041" max="12042" width="12.6640625" style="54" bestFit="1" customWidth="1"/>
    <col min="12043" max="12043" width="13.88671875" style="54" bestFit="1" customWidth="1"/>
    <col min="12044" max="12044" width="12.6640625" style="54" customWidth="1"/>
    <col min="12045" max="12045" width="12.6640625" style="54" bestFit="1" customWidth="1"/>
    <col min="12046" max="12046" width="14.109375" style="54" bestFit="1" customWidth="1"/>
    <col min="12047" max="12047" width="8.88671875" style="54"/>
    <col min="12048" max="12048" width="15.88671875" style="54" customWidth="1"/>
    <col min="12049" max="12288" width="8.88671875" style="54"/>
    <col min="12289" max="12289" width="8.6640625" style="54" customWidth="1"/>
    <col min="12290" max="12290" width="7.88671875" style="54" customWidth="1"/>
    <col min="12291" max="12291" width="13.77734375" style="54" bestFit="1" customWidth="1"/>
    <col min="12292" max="12292" width="10" style="54" customWidth="1"/>
    <col min="12293" max="12293" width="10.6640625" style="54" customWidth="1"/>
    <col min="12294" max="12294" width="17.88671875" style="54" customWidth="1"/>
    <col min="12295" max="12295" width="12.88671875" style="54" customWidth="1"/>
    <col min="12296" max="12296" width="11.88671875" style="54" customWidth="1"/>
    <col min="12297" max="12298" width="12.6640625" style="54" bestFit="1" customWidth="1"/>
    <col min="12299" max="12299" width="13.88671875" style="54" bestFit="1" customWidth="1"/>
    <col min="12300" max="12300" width="12.6640625" style="54" customWidth="1"/>
    <col min="12301" max="12301" width="12.6640625" style="54" bestFit="1" customWidth="1"/>
    <col min="12302" max="12302" width="14.109375" style="54" bestFit="1" customWidth="1"/>
    <col min="12303" max="12303" width="8.88671875" style="54"/>
    <col min="12304" max="12304" width="15.88671875" style="54" customWidth="1"/>
    <col min="12305" max="12544" width="8.88671875" style="54"/>
    <col min="12545" max="12545" width="8.6640625" style="54" customWidth="1"/>
    <col min="12546" max="12546" width="7.88671875" style="54" customWidth="1"/>
    <col min="12547" max="12547" width="13.77734375" style="54" bestFit="1" customWidth="1"/>
    <col min="12548" max="12548" width="10" style="54" customWidth="1"/>
    <col min="12549" max="12549" width="10.6640625" style="54" customWidth="1"/>
    <col min="12550" max="12550" width="17.88671875" style="54" customWidth="1"/>
    <col min="12551" max="12551" width="12.88671875" style="54" customWidth="1"/>
    <col min="12552" max="12552" width="11.88671875" style="54" customWidth="1"/>
    <col min="12553" max="12554" width="12.6640625" style="54" bestFit="1" customWidth="1"/>
    <col min="12555" max="12555" width="13.88671875" style="54" bestFit="1" customWidth="1"/>
    <col min="12556" max="12556" width="12.6640625" style="54" customWidth="1"/>
    <col min="12557" max="12557" width="12.6640625" style="54" bestFit="1" customWidth="1"/>
    <col min="12558" max="12558" width="14.109375" style="54" bestFit="1" customWidth="1"/>
    <col min="12559" max="12559" width="8.88671875" style="54"/>
    <col min="12560" max="12560" width="15.88671875" style="54" customWidth="1"/>
    <col min="12561" max="12800" width="8.88671875" style="54"/>
    <col min="12801" max="12801" width="8.6640625" style="54" customWidth="1"/>
    <col min="12802" max="12802" width="7.88671875" style="54" customWidth="1"/>
    <col min="12803" max="12803" width="13.77734375" style="54" bestFit="1" customWidth="1"/>
    <col min="12804" max="12804" width="10" style="54" customWidth="1"/>
    <col min="12805" max="12805" width="10.6640625" style="54" customWidth="1"/>
    <col min="12806" max="12806" width="17.88671875" style="54" customWidth="1"/>
    <col min="12807" max="12807" width="12.88671875" style="54" customWidth="1"/>
    <col min="12808" max="12808" width="11.88671875" style="54" customWidth="1"/>
    <col min="12809" max="12810" width="12.6640625" style="54" bestFit="1" customWidth="1"/>
    <col min="12811" max="12811" width="13.88671875" style="54" bestFit="1" customWidth="1"/>
    <col min="12812" max="12812" width="12.6640625" style="54" customWidth="1"/>
    <col min="12813" max="12813" width="12.6640625" style="54" bestFit="1" customWidth="1"/>
    <col min="12814" max="12814" width="14.109375" style="54" bestFit="1" customWidth="1"/>
    <col min="12815" max="12815" width="8.88671875" style="54"/>
    <col min="12816" max="12816" width="15.88671875" style="54" customWidth="1"/>
    <col min="12817" max="13056" width="8.88671875" style="54"/>
    <col min="13057" max="13057" width="8.6640625" style="54" customWidth="1"/>
    <col min="13058" max="13058" width="7.88671875" style="54" customWidth="1"/>
    <col min="13059" max="13059" width="13.77734375" style="54" bestFit="1" customWidth="1"/>
    <col min="13060" max="13060" width="10" style="54" customWidth="1"/>
    <col min="13061" max="13061" width="10.6640625" style="54" customWidth="1"/>
    <col min="13062" max="13062" width="17.88671875" style="54" customWidth="1"/>
    <col min="13063" max="13063" width="12.88671875" style="54" customWidth="1"/>
    <col min="13064" max="13064" width="11.88671875" style="54" customWidth="1"/>
    <col min="13065" max="13066" width="12.6640625" style="54" bestFit="1" customWidth="1"/>
    <col min="13067" max="13067" width="13.88671875" style="54" bestFit="1" customWidth="1"/>
    <col min="13068" max="13068" width="12.6640625" style="54" customWidth="1"/>
    <col min="13069" max="13069" width="12.6640625" style="54" bestFit="1" customWidth="1"/>
    <col min="13070" max="13070" width="14.109375" style="54" bestFit="1" customWidth="1"/>
    <col min="13071" max="13071" width="8.88671875" style="54"/>
    <col min="13072" max="13072" width="15.88671875" style="54" customWidth="1"/>
    <col min="13073" max="13312" width="8.88671875" style="54"/>
    <col min="13313" max="13313" width="8.6640625" style="54" customWidth="1"/>
    <col min="13314" max="13314" width="7.88671875" style="54" customWidth="1"/>
    <col min="13315" max="13315" width="13.77734375" style="54" bestFit="1" customWidth="1"/>
    <col min="13316" max="13316" width="10" style="54" customWidth="1"/>
    <col min="13317" max="13317" width="10.6640625" style="54" customWidth="1"/>
    <col min="13318" max="13318" width="17.88671875" style="54" customWidth="1"/>
    <col min="13319" max="13319" width="12.88671875" style="54" customWidth="1"/>
    <col min="13320" max="13320" width="11.88671875" style="54" customWidth="1"/>
    <col min="13321" max="13322" width="12.6640625" style="54" bestFit="1" customWidth="1"/>
    <col min="13323" max="13323" width="13.88671875" style="54" bestFit="1" customWidth="1"/>
    <col min="13324" max="13324" width="12.6640625" style="54" customWidth="1"/>
    <col min="13325" max="13325" width="12.6640625" style="54" bestFit="1" customWidth="1"/>
    <col min="13326" max="13326" width="14.109375" style="54" bestFit="1" customWidth="1"/>
    <col min="13327" max="13327" width="8.88671875" style="54"/>
    <col min="13328" max="13328" width="15.88671875" style="54" customWidth="1"/>
    <col min="13329" max="13568" width="8.88671875" style="54"/>
    <col min="13569" max="13569" width="8.6640625" style="54" customWidth="1"/>
    <col min="13570" max="13570" width="7.88671875" style="54" customWidth="1"/>
    <col min="13571" max="13571" width="13.77734375" style="54" bestFit="1" customWidth="1"/>
    <col min="13572" max="13572" width="10" style="54" customWidth="1"/>
    <col min="13573" max="13573" width="10.6640625" style="54" customWidth="1"/>
    <col min="13574" max="13574" width="17.88671875" style="54" customWidth="1"/>
    <col min="13575" max="13575" width="12.88671875" style="54" customWidth="1"/>
    <col min="13576" max="13576" width="11.88671875" style="54" customWidth="1"/>
    <col min="13577" max="13578" width="12.6640625" style="54" bestFit="1" customWidth="1"/>
    <col min="13579" max="13579" width="13.88671875" style="54" bestFit="1" customWidth="1"/>
    <col min="13580" max="13580" width="12.6640625" style="54" customWidth="1"/>
    <col min="13581" max="13581" width="12.6640625" style="54" bestFit="1" customWidth="1"/>
    <col min="13582" max="13582" width="14.109375" style="54" bestFit="1" customWidth="1"/>
    <col min="13583" max="13583" width="8.88671875" style="54"/>
    <col min="13584" max="13584" width="15.88671875" style="54" customWidth="1"/>
    <col min="13585" max="13824" width="8.88671875" style="54"/>
    <col min="13825" max="13825" width="8.6640625" style="54" customWidth="1"/>
    <col min="13826" max="13826" width="7.88671875" style="54" customWidth="1"/>
    <col min="13827" max="13827" width="13.77734375" style="54" bestFit="1" customWidth="1"/>
    <col min="13828" max="13828" width="10" style="54" customWidth="1"/>
    <col min="13829" max="13829" width="10.6640625" style="54" customWidth="1"/>
    <col min="13830" max="13830" width="17.88671875" style="54" customWidth="1"/>
    <col min="13831" max="13831" width="12.88671875" style="54" customWidth="1"/>
    <col min="13832" max="13832" width="11.88671875" style="54" customWidth="1"/>
    <col min="13833" max="13834" width="12.6640625" style="54" bestFit="1" customWidth="1"/>
    <col min="13835" max="13835" width="13.88671875" style="54" bestFit="1" customWidth="1"/>
    <col min="13836" max="13836" width="12.6640625" style="54" customWidth="1"/>
    <col min="13837" max="13837" width="12.6640625" style="54" bestFit="1" customWidth="1"/>
    <col min="13838" max="13838" width="14.109375" style="54" bestFit="1" customWidth="1"/>
    <col min="13839" max="13839" width="8.88671875" style="54"/>
    <col min="13840" max="13840" width="15.88671875" style="54" customWidth="1"/>
    <col min="13841" max="14080" width="8.88671875" style="54"/>
    <col min="14081" max="14081" width="8.6640625" style="54" customWidth="1"/>
    <col min="14082" max="14082" width="7.88671875" style="54" customWidth="1"/>
    <col min="14083" max="14083" width="13.77734375" style="54" bestFit="1" customWidth="1"/>
    <col min="14084" max="14084" width="10" style="54" customWidth="1"/>
    <col min="14085" max="14085" width="10.6640625" style="54" customWidth="1"/>
    <col min="14086" max="14086" width="17.88671875" style="54" customWidth="1"/>
    <col min="14087" max="14087" width="12.88671875" style="54" customWidth="1"/>
    <col min="14088" max="14088" width="11.88671875" style="54" customWidth="1"/>
    <col min="14089" max="14090" width="12.6640625" style="54" bestFit="1" customWidth="1"/>
    <col min="14091" max="14091" width="13.88671875" style="54" bestFit="1" customWidth="1"/>
    <col min="14092" max="14092" width="12.6640625" style="54" customWidth="1"/>
    <col min="14093" max="14093" width="12.6640625" style="54" bestFit="1" customWidth="1"/>
    <col min="14094" max="14094" width="14.109375" style="54" bestFit="1" customWidth="1"/>
    <col min="14095" max="14095" width="8.88671875" style="54"/>
    <col min="14096" max="14096" width="15.88671875" style="54" customWidth="1"/>
    <col min="14097" max="14336" width="8.88671875" style="54"/>
    <col min="14337" max="14337" width="8.6640625" style="54" customWidth="1"/>
    <col min="14338" max="14338" width="7.88671875" style="54" customWidth="1"/>
    <col min="14339" max="14339" width="13.77734375" style="54" bestFit="1" customWidth="1"/>
    <col min="14340" max="14340" width="10" style="54" customWidth="1"/>
    <col min="14341" max="14341" width="10.6640625" style="54" customWidth="1"/>
    <col min="14342" max="14342" width="17.88671875" style="54" customWidth="1"/>
    <col min="14343" max="14343" width="12.88671875" style="54" customWidth="1"/>
    <col min="14344" max="14344" width="11.88671875" style="54" customWidth="1"/>
    <col min="14345" max="14346" width="12.6640625" style="54" bestFit="1" customWidth="1"/>
    <col min="14347" max="14347" width="13.88671875" style="54" bestFit="1" customWidth="1"/>
    <col min="14348" max="14348" width="12.6640625" style="54" customWidth="1"/>
    <col min="14349" max="14349" width="12.6640625" style="54" bestFit="1" customWidth="1"/>
    <col min="14350" max="14350" width="14.109375" style="54" bestFit="1" customWidth="1"/>
    <col min="14351" max="14351" width="8.88671875" style="54"/>
    <col min="14352" max="14352" width="15.88671875" style="54" customWidth="1"/>
    <col min="14353" max="14592" width="8.88671875" style="54"/>
    <col min="14593" max="14593" width="8.6640625" style="54" customWidth="1"/>
    <col min="14594" max="14594" width="7.88671875" style="54" customWidth="1"/>
    <col min="14595" max="14595" width="13.77734375" style="54" bestFit="1" customWidth="1"/>
    <col min="14596" max="14596" width="10" style="54" customWidth="1"/>
    <col min="14597" max="14597" width="10.6640625" style="54" customWidth="1"/>
    <col min="14598" max="14598" width="17.88671875" style="54" customWidth="1"/>
    <col min="14599" max="14599" width="12.88671875" style="54" customWidth="1"/>
    <col min="14600" max="14600" width="11.88671875" style="54" customWidth="1"/>
    <col min="14601" max="14602" width="12.6640625" style="54" bestFit="1" customWidth="1"/>
    <col min="14603" max="14603" width="13.88671875" style="54" bestFit="1" customWidth="1"/>
    <col min="14604" max="14604" width="12.6640625" style="54" customWidth="1"/>
    <col min="14605" max="14605" width="12.6640625" style="54" bestFit="1" customWidth="1"/>
    <col min="14606" max="14606" width="14.109375" style="54" bestFit="1" customWidth="1"/>
    <col min="14607" max="14607" width="8.88671875" style="54"/>
    <col min="14608" max="14608" width="15.88671875" style="54" customWidth="1"/>
    <col min="14609" max="14848" width="8.88671875" style="54"/>
    <col min="14849" max="14849" width="8.6640625" style="54" customWidth="1"/>
    <col min="14850" max="14850" width="7.88671875" style="54" customWidth="1"/>
    <col min="14851" max="14851" width="13.77734375" style="54" bestFit="1" customWidth="1"/>
    <col min="14852" max="14852" width="10" style="54" customWidth="1"/>
    <col min="14853" max="14853" width="10.6640625" style="54" customWidth="1"/>
    <col min="14854" max="14854" width="17.88671875" style="54" customWidth="1"/>
    <col min="14855" max="14855" width="12.88671875" style="54" customWidth="1"/>
    <col min="14856" max="14856" width="11.88671875" style="54" customWidth="1"/>
    <col min="14857" max="14858" width="12.6640625" style="54" bestFit="1" customWidth="1"/>
    <col min="14859" max="14859" width="13.88671875" style="54" bestFit="1" customWidth="1"/>
    <col min="14860" max="14860" width="12.6640625" style="54" customWidth="1"/>
    <col min="14861" max="14861" width="12.6640625" style="54" bestFit="1" customWidth="1"/>
    <col min="14862" max="14862" width="14.109375" style="54" bestFit="1" customWidth="1"/>
    <col min="14863" max="14863" width="8.88671875" style="54"/>
    <col min="14864" max="14864" width="15.88671875" style="54" customWidth="1"/>
    <col min="14865" max="15104" width="8.88671875" style="54"/>
    <col min="15105" max="15105" width="8.6640625" style="54" customWidth="1"/>
    <col min="15106" max="15106" width="7.88671875" style="54" customWidth="1"/>
    <col min="15107" max="15107" width="13.77734375" style="54" bestFit="1" customWidth="1"/>
    <col min="15108" max="15108" width="10" style="54" customWidth="1"/>
    <col min="15109" max="15109" width="10.6640625" style="54" customWidth="1"/>
    <col min="15110" max="15110" width="17.88671875" style="54" customWidth="1"/>
    <col min="15111" max="15111" width="12.88671875" style="54" customWidth="1"/>
    <col min="15112" max="15112" width="11.88671875" style="54" customWidth="1"/>
    <col min="15113" max="15114" width="12.6640625" style="54" bestFit="1" customWidth="1"/>
    <col min="15115" max="15115" width="13.88671875" style="54" bestFit="1" customWidth="1"/>
    <col min="15116" max="15116" width="12.6640625" style="54" customWidth="1"/>
    <col min="15117" max="15117" width="12.6640625" style="54" bestFit="1" customWidth="1"/>
    <col min="15118" max="15118" width="14.109375" style="54" bestFit="1" customWidth="1"/>
    <col min="15119" max="15119" width="8.88671875" style="54"/>
    <col min="15120" max="15120" width="15.88671875" style="54" customWidth="1"/>
    <col min="15121" max="15360" width="8.88671875" style="54"/>
    <col min="15361" max="15361" width="8.6640625" style="54" customWidth="1"/>
    <col min="15362" max="15362" width="7.88671875" style="54" customWidth="1"/>
    <col min="15363" max="15363" width="13.77734375" style="54" bestFit="1" customWidth="1"/>
    <col min="15364" max="15364" width="10" style="54" customWidth="1"/>
    <col min="15365" max="15365" width="10.6640625" style="54" customWidth="1"/>
    <col min="15366" max="15366" width="17.88671875" style="54" customWidth="1"/>
    <col min="15367" max="15367" width="12.88671875" style="54" customWidth="1"/>
    <col min="15368" max="15368" width="11.88671875" style="54" customWidth="1"/>
    <col min="15369" max="15370" width="12.6640625" style="54" bestFit="1" customWidth="1"/>
    <col min="15371" max="15371" width="13.88671875" style="54" bestFit="1" customWidth="1"/>
    <col min="15372" max="15372" width="12.6640625" style="54" customWidth="1"/>
    <col min="15373" max="15373" width="12.6640625" style="54" bestFit="1" customWidth="1"/>
    <col min="15374" max="15374" width="14.109375" style="54" bestFit="1" customWidth="1"/>
    <col min="15375" max="15375" width="8.88671875" style="54"/>
    <col min="15376" max="15376" width="15.88671875" style="54" customWidth="1"/>
    <col min="15377" max="15616" width="8.88671875" style="54"/>
    <col min="15617" max="15617" width="8.6640625" style="54" customWidth="1"/>
    <col min="15618" max="15618" width="7.88671875" style="54" customWidth="1"/>
    <col min="15619" max="15619" width="13.77734375" style="54" bestFit="1" customWidth="1"/>
    <col min="15620" max="15620" width="10" style="54" customWidth="1"/>
    <col min="15621" max="15621" width="10.6640625" style="54" customWidth="1"/>
    <col min="15622" max="15622" width="17.88671875" style="54" customWidth="1"/>
    <col min="15623" max="15623" width="12.88671875" style="54" customWidth="1"/>
    <col min="15624" max="15624" width="11.88671875" style="54" customWidth="1"/>
    <col min="15625" max="15626" width="12.6640625" style="54" bestFit="1" customWidth="1"/>
    <col min="15627" max="15627" width="13.88671875" style="54" bestFit="1" customWidth="1"/>
    <col min="15628" max="15628" width="12.6640625" style="54" customWidth="1"/>
    <col min="15629" max="15629" width="12.6640625" style="54" bestFit="1" customWidth="1"/>
    <col min="15630" max="15630" width="14.109375" style="54" bestFit="1" customWidth="1"/>
    <col min="15631" max="15631" width="8.88671875" style="54"/>
    <col min="15632" max="15632" width="15.88671875" style="54" customWidth="1"/>
    <col min="15633" max="15872" width="8.88671875" style="54"/>
    <col min="15873" max="15873" width="8.6640625" style="54" customWidth="1"/>
    <col min="15874" max="15874" width="7.88671875" style="54" customWidth="1"/>
    <col min="15875" max="15875" width="13.77734375" style="54" bestFit="1" customWidth="1"/>
    <col min="15876" max="15876" width="10" style="54" customWidth="1"/>
    <col min="15877" max="15877" width="10.6640625" style="54" customWidth="1"/>
    <col min="15878" max="15878" width="17.88671875" style="54" customWidth="1"/>
    <col min="15879" max="15879" width="12.88671875" style="54" customWidth="1"/>
    <col min="15880" max="15880" width="11.88671875" style="54" customWidth="1"/>
    <col min="15881" max="15882" width="12.6640625" style="54" bestFit="1" customWidth="1"/>
    <col min="15883" max="15883" width="13.88671875" style="54" bestFit="1" customWidth="1"/>
    <col min="15884" max="15884" width="12.6640625" style="54" customWidth="1"/>
    <col min="15885" max="15885" width="12.6640625" style="54" bestFit="1" customWidth="1"/>
    <col min="15886" max="15886" width="14.109375" style="54" bestFit="1" customWidth="1"/>
    <col min="15887" max="15887" width="8.88671875" style="54"/>
    <col min="15888" max="15888" width="15.88671875" style="54" customWidth="1"/>
    <col min="15889" max="16128" width="8.88671875" style="54"/>
    <col min="16129" max="16129" width="8.6640625" style="54" customWidth="1"/>
    <col min="16130" max="16130" width="7.88671875" style="54" customWidth="1"/>
    <col min="16131" max="16131" width="13.77734375" style="54" bestFit="1" customWidth="1"/>
    <col min="16132" max="16132" width="10" style="54" customWidth="1"/>
    <col min="16133" max="16133" width="10.6640625" style="54" customWidth="1"/>
    <col min="16134" max="16134" width="17.88671875" style="54" customWidth="1"/>
    <col min="16135" max="16135" width="12.88671875" style="54" customWidth="1"/>
    <col min="16136" max="16136" width="11.88671875" style="54" customWidth="1"/>
    <col min="16137" max="16138" width="12.6640625" style="54" bestFit="1" customWidth="1"/>
    <col min="16139" max="16139" width="13.88671875" style="54" bestFit="1" customWidth="1"/>
    <col min="16140" max="16140" width="12.6640625" style="54" customWidth="1"/>
    <col min="16141" max="16141" width="12.6640625" style="54" bestFit="1" customWidth="1"/>
    <col min="16142" max="16142" width="14.109375" style="54" bestFit="1" customWidth="1"/>
    <col min="16143" max="16143" width="8.88671875" style="54"/>
    <col min="16144" max="16144" width="15.88671875" style="54" customWidth="1"/>
    <col min="16145" max="16384" width="8.88671875" style="54"/>
  </cols>
  <sheetData>
    <row r="1" spans="1:14" ht="30.75" customHeight="1">
      <c r="A1" s="1321" t="s">
        <v>136</v>
      </c>
      <c r="B1" s="1321"/>
      <c r="C1" s="1321"/>
      <c r="D1" s="1321"/>
      <c r="E1" s="1321"/>
      <c r="F1" s="1321"/>
      <c r="G1" s="1321"/>
      <c r="H1" s="1321"/>
      <c r="I1" s="1321"/>
      <c r="J1" s="1321"/>
      <c r="K1" s="1321"/>
    </row>
    <row r="2" spans="1:14" ht="19.5" customHeight="1" thickBot="1">
      <c r="A2" s="1322" t="s">
        <v>30</v>
      </c>
      <c r="B2" s="1322"/>
      <c r="C2" s="1322"/>
      <c r="D2" s="1322"/>
      <c r="E2" s="1322"/>
      <c r="F2" s="1322"/>
      <c r="G2" s="1322"/>
      <c r="H2" s="1322"/>
      <c r="I2" s="1322"/>
      <c r="J2" s="1322"/>
      <c r="K2" s="1322"/>
    </row>
    <row r="3" spans="1:14" ht="14.25" thickBot="1">
      <c r="A3" s="1323" t="s">
        <v>31</v>
      </c>
      <c r="B3" s="1323"/>
      <c r="C3" s="1323"/>
      <c r="D3" s="1324" t="s">
        <v>32</v>
      </c>
      <c r="E3" s="1325"/>
      <c r="F3" s="1326"/>
      <c r="G3" s="1330" t="s">
        <v>33</v>
      </c>
      <c r="H3" s="1332" t="s">
        <v>34</v>
      </c>
      <c r="I3" s="1334" t="s">
        <v>35</v>
      </c>
      <c r="J3" s="1332" t="s">
        <v>36</v>
      </c>
      <c r="K3" s="1336" t="s">
        <v>37</v>
      </c>
    </row>
    <row r="4" spans="1:14" ht="14.25" thickBot="1">
      <c r="A4" s="213" t="s">
        <v>38</v>
      </c>
      <c r="B4" s="213" t="s">
        <v>39</v>
      </c>
      <c r="C4" s="101" t="s">
        <v>40</v>
      </c>
      <c r="D4" s="1327"/>
      <c r="E4" s="1328"/>
      <c r="F4" s="1329"/>
      <c r="G4" s="1331"/>
      <c r="H4" s="1333"/>
      <c r="I4" s="1335"/>
      <c r="J4" s="1333"/>
      <c r="K4" s="1337"/>
    </row>
    <row r="5" spans="1:14" ht="14.25" thickBot="1">
      <c r="A5" s="1327" t="s">
        <v>41</v>
      </c>
      <c r="B5" s="1328"/>
      <c r="C5" s="1329"/>
      <c r="D5" s="1338"/>
      <c r="E5" s="1339"/>
      <c r="F5" s="1340"/>
      <c r="G5" s="102">
        <f>G10</f>
        <v>1619187760</v>
      </c>
      <c r="H5" s="102">
        <f>SUM(H124,H143)</f>
        <v>64000000</v>
      </c>
      <c r="I5" s="103">
        <f>I128+I143</f>
        <v>24120000</v>
      </c>
      <c r="J5" s="103">
        <f>J6+J139+J143</f>
        <v>34002543</v>
      </c>
      <c r="K5" s="104">
        <f>SUM(G5:J5)</f>
        <v>1741310303</v>
      </c>
    </row>
    <row r="6" spans="1:14">
      <c r="A6" s="105" t="s">
        <v>137</v>
      </c>
      <c r="B6" s="106"/>
      <c r="C6" s="107"/>
      <c r="D6" s="108"/>
      <c r="E6" s="109"/>
      <c r="F6" s="110"/>
      <c r="G6" s="111"/>
      <c r="H6" s="112"/>
      <c r="I6" s="113"/>
      <c r="J6" s="113">
        <f>J7</f>
        <v>7000000</v>
      </c>
      <c r="K6" s="114">
        <f t="shared" ref="K6:K9" si="0">SUM(G6:J6)</f>
        <v>7000000</v>
      </c>
    </row>
    <row r="7" spans="1:14">
      <c r="A7" s="115"/>
      <c r="B7" s="116" t="s">
        <v>137</v>
      </c>
      <c r="C7" s="231"/>
      <c r="D7" s="232"/>
      <c r="E7" s="233"/>
      <c r="F7" s="234"/>
      <c r="G7" s="235"/>
      <c r="H7" s="236"/>
      <c r="I7" s="237"/>
      <c r="J7" s="237">
        <f>SUM(J8:J9)</f>
        <v>7000000</v>
      </c>
      <c r="K7" s="238">
        <f t="shared" si="0"/>
        <v>7000000</v>
      </c>
    </row>
    <row r="8" spans="1:14">
      <c r="A8" s="115"/>
      <c r="B8" s="117"/>
      <c r="C8" s="239" t="s">
        <v>138</v>
      </c>
      <c r="D8" s="232"/>
      <c r="E8" s="233"/>
      <c r="F8" s="234"/>
      <c r="G8" s="235"/>
      <c r="H8" s="236"/>
      <c r="I8" s="237"/>
      <c r="J8" s="237">
        <v>5000000</v>
      </c>
      <c r="K8" s="238">
        <f t="shared" si="0"/>
        <v>5000000</v>
      </c>
    </row>
    <row r="9" spans="1:14" ht="14.25" thickBot="1">
      <c r="A9" s="115"/>
      <c r="B9" s="212"/>
      <c r="C9" s="240" t="s">
        <v>139</v>
      </c>
      <c r="D9" s="241"/>
      <c r="E9" s="242"/>
      <c r="F9" s="243"/>
      <c r="G9" s="244"/>
      <c r="H9" s="245"/>
      <c r="I9" s="246"/>
      <c r="J9" s="246">
        <v>2000000</v>
      </c>
      <c r="K9" s="247">
        <f t="shared" si="0"/>
        <v>2000000</v>
      </c>
    </row>
    <row r="10" spans="1:14" ht="14.25" thickBot="1">
      <c r="A10" s="118" t="s">
        <v>206</v>
      </c>
      <c r="B10" s="59"/>
      <c r="C10" s="59" t="s">
        <v>42</v>
      </c>
      <c r="D10" s="119"/>
      <c r="E10" s="120"/>
      <c r="F10" s="121"/>
      <c r="G10" s="122">
        <f>G11</f>
        <v>1619187760</v>
      </c>
      <c r="H10" s="123"/>
      <c r="I10" s="123"/>
      <c r="J10" s="123"/>
      <c r="K10" s="124">
        <f>SUM(G10:J10)</f>
        <v>1619187760</v>
      </c>
      <c r="L10" s="72"/>
    </row>
    <row r="11" spans="1:14" ht="14.25" thickBot="1">
      <c r="A11" s="60"/>
      <c r="B11" s="55" t="s">
        <v>206</v>
      </c>
      <c r="C11" s="125"/>
      <c r="D11" s="56"/>
      <c r="E11" s="57"/>
      <c r="F11" s="58"/>
      <c r="G11" s="126">
        <f>SUM(G12,G106,G108,G112,G114,G144)</f>
        <v>1619187760</v>
      </c>
      <c r="H11" s="127"/>
      <c r="I11" s="127"/>
      <c r="J11" s="127"/>
      <c r="K11" s="128">
        <f>SUM(G11:J11)</f>
        <v>1619187760</v>
      </c>
    </row>
    <row r="12" spans="1:14" ht="14.25" thickBot="1">
      <c r="A12" s="60"/>
      <c r="B12" s="60"/>
      <c r="C12" s="129" t="s">
        <v>43</v>
      </c>
      <c r="D12" s="1341" t="s">
        <v>44</v>
      </c>
      <c r="E12" s="1342"/>
      <c r="F12" s="1343"/>
      <c r="G12" s="130">
        <f>G13+G84+G101</f>
        <v>782909000</v>
      </c>
      <c r="H12" s="131"/>
      <c r="I12" s="131"/>
      <c r="J12" s="131"/>
      <c r="K12" s="132">
        <f>SUM(G12:J12)</f>
        <v>782909000</v>
      </c>
    </row>
    <row r="13" spans="1:14" ht="14.25" thickBot="1">
      <c r="A13" s="60"/>
      <c r="B13" s="60"/>
      <c r="C13" s="133"/>
      <c r="D13" s="210" t="s">
        <v>159</v>
      </c>
      <c r="E13" s="211"/>
      <c r="F13" s="218"/>
      <c r="G13" s="45">
        <f>G14+G31</f>
        <v>663568040</v>
      </c>
      <c r="H13" s="86"/>
      <c r="I13" s="86"/>
      <c r="J13" s="86"/>
      <c r="K13" s="45">
        <f>K14+K31</f>
        <v>663568040</v>
      </c>
    </row>
    <row r="14" spans="1:14" ht="14.25" thickBot="1">
      <c r="A14" s="60"/>
      <c r="B14" s="60"/>
      <c r="C14" s="134"/>
      <c r="D14" s="50" t="s">
        <v>3</v>
      </c>
      <c r="E14" s="51"/>
      <c r="F14" s="52"/>
      <c r="G14" s="45">
        <f>SUM(G15:G30)</f>
        <v>525527000</v>
      </c>
      <c r="H14" s="86"/>
      <c r="I14" s="86"/>
      <c r="J14" s="86"/>
      <c r="K14" s="135">
        <f>SUM(K15:K30)</f>
        <v>525527000</v>
      </c>
    </row>
    <row r="15" spans="1:14" ht="24.95" customHeight="1">
      <c r="A15" s="60"/>
      <c r="B15" s="60"/>
      <c r="C15" s="134"/>
      <c r="D15" s="61" t="s">
        <v>11</v>
      </c>
      <c r="E15" s="62" t="s">
        <v>45</v>
      </c>
      <c r="F15" s="63" t="s">
        <v>46</v>
      </c>
      <c r="G15" s="64">
        <v>59036000</v>
      </c>
      <c r="H15" s="65"/>
      <c r="I15" s="65"/>
      <c r="J15" s="65"/>
      <c r="K15" s="136">
        <f>SUM(G15:J15)</f>
        <v>59036000</v>
      </c>
    </row>
    <row r="16" spans="1:14" ht="24.95" customHeight="1">
      <c r="A16" s="60"/>
      <c r="B16" s="60"/>
      <c r="C16" s="134"/>
      <c r="D16" s="66" t="s">
        <v>12</v>
      </c>
      <c r="E16" s="67" t="s">
        <v>47</v>
      </c>
      <c r="F16" s="68" t="s">
        <v>48</v>
      </c>
      <c r="G16" s="69">
        <v>51276000</v>
      </c>
      <c r="H16" s="70"/>
      <c r="I16" s="70"/>
      <c r="J16" s="70"/>
      <c r="K16" s="137">
        <f t="shared" ref="K16:K30" si="1">SUM(G16:J16)</f>
        <v>51276000</v>
      </c>
      <c r="N16" s="72"/>
    </row>
    <row r="17" spans="1:14" ht="24.95" customHeight="1">
      <c r="A17" s="60"/>
      <c r="B17" s="60"/>
      <c r="C17" s="134"/>
      <c r="D17" s="66" t="s">
        <v>13</v>
      </c>
      <c r="E17" s="71" t="s">
        <v>49</v>
      </c>
      <c r="F17" s="68" t="s">
        <v>50</v>
      </c>
      <c r="G17" s="69">
        <v>44544000</v>
      </c>
      <c r="H17" s="70"/>
      <c r="I17" s="70"/>
      <c r="J17" s="70"/>
      <c r="K17" s="137">
        <f t="shared" si="1"/>
        <v>44544000</v>
      </c>
      <c r="M17" s="138"/>
    </row>
    <row r="18" spans="1:14" ht="24.95" customHeight="1">
      <c r="A18" s="60"/>
      <c r="B18" s="60"/>
      <c r="C18" s="134"/>
      <c r="D18" s="66" t="s">
        <v>14</v>
      </c>
      <c r="E18" s="71" t="s">
        <v>51</v>
      </c>
      <c r="F18" s="68" t="s">
        <v>52</v>
      </c>
      <c r="G18" s="69">
        <v>41480000</v>
      </c>
      <c r="H18" s="70"/>
      <c r="I18" s="70"/>
      <c r="J18" s="70"/>
      <c r="K18" s="137">
        <f t="shared" si="1"/>
        <v>41480000</v>
      </c>
    </row>
    <row r="19" spans="1:14" ht="24.95" customHeight="1">
      <c r="A19" s="60"/>
      <c r="B19" s="60"/>
      <c r="C19" s="134"/>
      <c r="D19" s="66" t="s">
        <v>15</v>
      </c>
      <c r="E19" s="71" t="s">
        <v>53</v>
      </c>
      <c r="F19" s="68" t="s">
        <v>54</v>
      </c>
      <c r="G19" s="69">
        <v>41927000</v>
      </c>
      <c r="H19" s="70"/>
      <c r="I19" s="70"/>
      <c r="J19" s="70"/>
      <c r="K19" s="137">
        <f t="shared" si="1"/>
        <v>41927000</v>
      </c>
      <c r="N19" s="72"/>
    </row>
    <row r="20" spans="1:14" ht="24.95" customHeight="1">
      <c r="A20" s="60"/>
      <c r="B20" s="60"/>
      <c r="C20" s="134"/>
      <c r="D20" s="66" t="s">
        <v>28</v>
      </c>
      <c r="E20" s="71" t="s">
        <v>55</v>
      </c>
      <c r="F20" s="68" t="s">
        <v>56</v>
      </c>
      <c r="G20" s="69">
        <v>28452000</v>
      </c>
      <c r="H20" s="70"/>
      <c r="I20" s="70"/>
      <c r="J20" s="70"/>
      <c r="K20" s="137">
        <f t="shared" si="1"/>
        <v>28452000</v>
      </c>
    </row>
    <row r="21" spans="1:14" ht="24.95" customHeight="1">
      <c r="A21" s="60"/>
      <c r="B21" s="60"/>
      <c r="C21" s="134"/>
      <c r="D21" s="66" t="s">
        <v>16</v>
      </c>
      <c r="E21" s="75">
        <v>2255000</v>
      </c>
      <c r="F21" s="68" t="s">
        <v>57</v>
      </c>
      <c r="G21" s="69">
        <v>28596000</v>
      </c>
      <c r="H21" s="70"/>
      <c r="I21" s="70"/>
      <c r="J21" s="70"/>
      <c r="K21" s="137">
        <f t="shared" si="1"/>
        <v>28596000</v>
      </c>
    </row>
    <row r="22" spans="1:14" ht="24.95" customHeight="1">
      <c r="A22" s="60"/>
      <c r="B22" s="60"/>
      <c r="C22" s="134"/>
      <c r="D22" s="76" t="s">
        <v>20</v>
      </c>
      <c r="E22" s="71" t="s">
        <v>58</v>
      </c>
      <c r="F22" s="68" t="s">
        <v>59</v>
      </c>
      <c r="G22" s="69">
        <v>30184000</v>
      </c>
      <c r="H22" s="70"/>
      <c r="I22" s="70"/>
      <c r="J22" s="70"/>
      <c r="K22" s="137">
        <f t="shared" si="1"/>
        <v>30184000</v>
      </c>
      <c r="M22" s="72"/>
    </row>
    <row r="23" spans="1:14" ht="24.95" customHeight="1">
      <c r="A23" s="60"/>
      <c r="B23" s="60"/>
      <c r="C23" s="134"/>
      <c r="D23" s="66" t="s">
        <v>17</v>
      </c>
      <c r="E23" s="75" t="s">
        <v>60</v>
      </c>
      <c r="F23" s="68" t="s">
        <v>61</v>
      </c>
      <c r="G23" s="69">
        <v>24621000</v>
      </c>
      <c r="H23" s="70"/>
      <c r="I23" s="70"/>
      <c r="J23" s="70"/>
      <c r="K23" s="137">
        <f t="shared" si="1"/>
        <v>24621000</v>
      </c>
      <c r="N23" s="72"/>
    </row>
    <row r="24" spans="1:14" ht="24.95" customHeight="1">
      <c r="A24" s="60"/>
      <c r="B24" s="60"/>
      <c r="C24" s="134"/>
      <c r="D24" s="76" t="s">
        <v>19</v>
      </c>
      <c r="E24" s="75" t="s">
        <v>62</v>
      </c>
      <c r="F24" s="68" t="s">
        <v>63</v>
      </c>
      <c r="G24" s="69">
        <v>25791000</v>
      </c>
      <c r="H24" s="70"/>
      <c r="I24" s="70"/>
      <c r="J24" s="70"/>
      <c r="K24" s="137">
        <f t="shared" si="1"/>
        <v>25791000</v>
      </c>
    </row>
    <row r="25" spans="1:14" ht="24.95" customHeight="1">
      <c r="A25" s="60"/>
      <c r="B25" s="60"/>
      <c r="C25" s="134"/>
      <c r="D25" s="76" t="s">
        <v>21</v>
      </c>
      <c r="E25" s="75" t="s">
        <v>64</v>
      </c>
      <c r="F25" s="68" t="s">
        <v>65</v>
      </c>
      <c r="G25" s="69">
        <v>30087000</v>
      </c>
      <c r="H25" s="70"/>
      <c r="I25" s="70"/>
      <c r="J25" s="70"/>
      <c r="K25" s="137">
        <f t="shared" si="1"/>
        <v>30087000</v>
      </c>
    </row>
    <row r="26" spans="1:14" ht="24.95" customHeight="1">
      <c r="A26" s="60"/>
      <c r="B26" s="60"/>
      <c r="C26" s="134"/>
      <c r="D26" s="66" t="s">
        <v>22</v>
      </c>
      <c r="E26" s="75">
        <v>2569000</v>
      </c>
      <c r="F26" s="68" t="s">
        <v>66</v>
      </c>
      <c r="G26" s="69">
        <v>32088000</v>
      </c>
      <c r="H26" s="70"/>
      <c r="I26" s="70"/>
      <c r="J26" s="70"/>
      <c r="K26" s="137">
        <f>G26</f>
        <v>32088000</v>
      </c>
    </row>
    <row r="27" spans="1:14" ht="24.95" customHeight="1">
      <c r="A27" s="60"/>
      <c r="B27" s="60"/>
      <c r="C27" s="134"/>
      <c r="D27" s="66" t="s">
        <v>23</v>
      </c>
      <c r="E27" s="75" t="s">
        <v>64</v>
      </c>
      <c r="F27" s="68" t="s">
        <v>67</v>
      </c>
      <c r="G27" s="69">
        <v>29688000</v>
      </c>
      <c r="H27" s="70"/>
      <c r="I27" s="70"/>
      <c r="J27" s="70"/>
      <c r="K27" s="137">
        <f>G27</f>
        <v>29688000</v>
      </c>
    </row>
    <row r="28" spans="1:14" ht="24.95" customHeight="1">
      <c r="A28" s="60"/>
      <c r="B28" s="60"/>
      <c r="C28" s="134"/>
      <c r="D28" s="66" t="s">
        <v>24</v>
      </c>
      <c r="E28" s="75" t="s">
        <v>68</v>
      </c>
      <c r="F28" s="68" t="s">
        <v>69</v>
      </c>
      <c r="G28" s="69">
        <v>29772000</v>
      </c>
      <c r="H28" s="70"/>
      <c r="I28" s="70"/>
      <c r="J28" s="70"/>
      <c r="K28" s="137">
        <f t="shared" si="1"/>
        <v>29772000</v>
      </c>
    </row>
    <row r="29" spans="1:14" ht="24.95" customHeight="1">
      <c r="A29" s="60"/>
      <c r="B29" s="60"/>
      <c r="C29" s="134"/>
      <c r="D29" s="66" t="s">
        <v>153</v>
      </c>
      <c r="E29" s="75" t="s">
        <v>154</v>
      </c>
      <c r="F29" s="68" t="s">
        <v>155</v>
      </c>
      <c r="G29" s="69">
        <v>25782000</v>
      </c>
      <c r="H29" s="70"/>
      <c r="I29" s="70"/>
      <c r="J29" s="70"/>
      <c r="K29" s="137">
        <f t="shared" si="1"/>
        <v>25782000</v>
      </c>
    </row>
    <row r="30" spans="1:14" ht="24.95" customHeight="1" thickBot="1">
      <c r="A30" s="60"/>
      <c r="B30" s="60"/>
      <c r="C30" s="134"/>
      <c r="D30" s="78" t="s">
        <v>18</v>
      </c>
      <c r="E30" s="191">
        <v>2203000</v>
      </c>
      <c r="F30" s="79" t="s">
        <v>217</v>
      </c>
      <c r="G30" s="80">
        <v>2203000</v>
      </c>
      <c r="H30" s="77"/>
      <c r="I30" s="77"/>
      <c r="J30" s="77"/>
      <c r="K30" s="139">
        <f t="shared" si="1"/>
        <v>2203000</v>
      </c>
    </row>
    <row r="31" spans="1:14" ht="14.25" thickBot="1">
      <c r="A31" s="60"/>
      <c r="B31" s="60"/>
      <c r="C31" s="94"/>
      <c r="D31" s="81" t="s">
        <v>160</v>
      </c>
      <c r="E31" s="219"/>
      <c r="F31" s="140"/>
      <c r="G31" s="45">
        <f>G32+G34+G50+G63+G79+G81</f>
        <v>138041040</v>
      </c>
      <c r="H31" s="92"/>
      <c r="I31" s="92"/>
      <c r="J31" s="92"/>
      <c r="K31" s="45">
        <f>K32+K34+K50+K63+K79+K81</f>
        <v>138041040</v>
      </c>
    </row>
    <row r="32" spans="1:14" ht="14.25" thickBot="1">
      <c r="A32" s="60"/>
      <c r="B32" s="60"/>
      <c r="C32" s="94"/>
      <c r="D32" s="50" t="s">
        <v>4</v>
      </c>
      <c r="E32" s="51"/>
      <c r="F32" s="52"/>
      <c r="G32" s="45">
        <f>G33</f>
        <v>18000000</v>
      </c>
      <c r="H32" s="86"/>
      <c r="I32" s="86"/>
      <c r="J32" s="86"/>
      <c r="K32" s="87">
        <f>SUM(K33)</f>
        <v>18000000</v>
      </c>
    </row>
    <row r="33" spans="1:13" ht="24.95" customHeight="1" thickBot="1">
      <c r="A33" s="60"/>
      <c r="B33" s="60"/>
      <c r="C33" s="134"/>
      <c r="D33" s="36" t="s">
        <v>70</v>
      </c>
      <c r="E33" s="216"/>
      <c r="F33" s="217"/>
      <c r="G33" s="38">
        <v>18000000</v>
      </c>
      <c r="H33" s="49"/>
      <c r="I33" s="49"/>
      <c r="J33" s="49"/>
      <c r="K33" s="43">
        <f>SUM(G33:J33)</f>
        <v>18000000</v>
      </c>
    </row>
    <row r="34" spans="1:13" ht="14.25" thickBot="1">
      <c r="A34" s="60"/>
      <c r="B34" s="60"/>
      <c r="C34" s="134"/>
      <c r="D34" s="50" t="s">
        <v>6</v>
      </c>
      <c r="E34" s="51"/>
      <c r="F34" s="52"/>
      <c r="G34" s="39">
        <f>SUM(G35:G49)</f>
        <v>52027840</v>
      </c>
      <c r="H34" s="86"/>
      <c r="I34" s="86"/>
      <c r="J34" s="86"/>
      <c r="K34" s="135">
        <f>SUM(K35:K49)</f>
        <v>52027840</v>
      </c>
    </row>
    <row r="35" spans="1:13" ht="22.5">
      <c r="A35" s="60"/>
      <c r="B35" s="60"/>
      <c r="C35" s="134"/>
      <c r="D35" s="66" t="s">
        <v>12</v>
      </c>
      <c r="E35" s="67" t="s">
        <v>47</v>
      </c>
      <c r="F35" s="82" t="s">
        <v>71</v>
      </c>
      <c r="G35" s="64">
        <v>5649300</v>
      </c>
      <c r="H35" s="65"/>
      <c r="I35" s="65"/>
      <c r="J35" s="65"/>
      <c r="K35" s="136">
        <f t="shared" ref="K35:K48" si="2">SUM(G35:J35)</f>
        <v>5649300</v>
      </c>
      <c r="M35" s="72"/>
    </row>
    <row r="36" spans="1:13" ht="24.95" customHeight="1">
      <c r="A36" s="60"/>
      <c r="B36" s="60"/>
      <c r="C36" s="134"/>
      <c r="D36" s="66" t="s">
        <v>13</v>
      </c>
      <c r="E36" s="71" t="s">
        <v>49</v>
      </c>
      <c r="F36" s="83" t="s">
        <v>72</v>
      </c>
      <c r="G36" s="69">
        <v>4924500</v>
      </c>
      <c r="H36" s="70"/>
      <c r="I36" s="70"/>
      <c r="J36" s="70"/>
      <c r="K36" s="137">
        <f t="shared" si="2"/>
        <v>4924500</v>
      </c>
    </row>
    <row r="37" spans="1:13" ht="24.95" customHeight="1">
      <c r="A37" s="60"/>
      <c r="B37" s="60"/>
      <c r="C37" s="134"/>
      <c r="D37" s="66" t="s">
        <v>143</v>
      </c>
      <c r="E37" s="71" t="s">
        <v>51</v>
      </c>
      <c r="F37" s="83" t="s">
        <v>73</v>
      </c>
      <c r="G37" s="69">
        <v>4594640</v>
      </c>
      <c r="H37" s="70"/>
      <c r="I37" s="70"/>
      <c r="J37" s="70"/>
      <c r="K37" s="137">
        <f t="shared" si="2"/>
        <v>4594640</v>
      </c>
    </row>
    <row r="38" spans="1:13" ht="24.95" customHeight="1">
      <c r="A38" s="60"/>
      <c r="B38" s="60"/>
      <c r="C38" s="134"/>
      <c r="D38" s="66" t="s">
        <v>144</v>
      </c>
      <c r="E38" s="71" t="s">
        <v>53</v>
      </c>
      <c r="F38" s="83" t="s">
        <v>74</v>
      </c>
      <c r="G38" s="69">
        <v>4642770</v>
      </c>
      <c r="H38" s="70"/>
      <c r="I38" s="70"/>
      <c r="J38" s="70"/>
      <c r="K38" s="137">
        <f t="shared" si="2"/>
        <v>4642770</v>
      </c>
    </row>
    <row r="39" spans="1:13" ht="24.95" customHeight="1">
      <c r="A39" s="60"/>
      <c r="B39" s="60"/>
      <c r="C39" s="134"/>
      <c r="D39" s="66" t="s">
        <v>27</v>
      </c>
      <c r="E39" s="71" t="s">
        <v>55</v>
      </c>
      <c r="F39" s="83" t="s">
        <v>75</v>
      </c>
      <c r="G39" s="69">
        <v>3192100</v>
      </c>
      <c r="H39" s="70"/>
      <c r="I39" s="70"/>
      <c r="J39" s="70"/>
      <c r="K39" s="137">
        <f t="shared" si="2"/>
        <v>3192100</v>
      </c>
    </row>
    <row r="40" spans="1:13">
      <c r="A40" s="60"/>
      <c r="B40" s="60"/>
      <c r="C40" s="134"/>
      <c r="D40" s="66" t="s">
        <v>145</v>
      </c>
      <c r="E40" s="75">
        <v>2255000</v>
      </c>
      <c r="F40" s="83" t="s">
        <v>76</v>
      </c>
      <c r="G40" s="69">
        <v>3207600</v>
      </c>
      <c r="H40" s="70"/>
      <c r="I40" s="70"/>
      <c r="J40" s="70"/>
      <c r="K40" s="137">
        <f t="shared" si="2"/>
        <v>3207600</v>
      </c>
    </row>
    <row r="41" spans="1:13" ht="24.95" customHeight="1">
      <c r="A41" s="60"/>
      <c r="B41" s="60"/>
      <c r="C41" s="134"/>
      <c r="D41" s="76" t="s">
        <v>146</v>
      </c>
      <c r="E41" s="71" t="s">
        <v>58</v>
      </c>
      <c r="F41" s="83" t="s">
        <v>77</v>
      </c>
      <c r="G41" s="69">
        <v>3378600</v>
      </c>
      <c r="H41" s="70"/>
      <c r="I41" s="70"/>
      <c r="J41" s="70"/>
      <c r="K41" s="137">
        <f t="shared" si="2"/>
        <v>3378600</v>
      </c>
    </row>
    <row r="42" spans="1:13" ht="24.95" customHeight="1">
      <c r="A42" s="60"/>
      <c r="B42" s="60"/>
      <c r="C42" s="134"/>
      <c r="D42" s="66" t="s">
        <v>147</v>
      </c>
      <c r="E42" s="75" t="s">
        <v>60</v>
      </c>
      <c r="F42" s="83" t="s">
        <v>78</v>
      </c>
      <c r="G42" s="69">
        <v>2768950</v>
      </c>
      <c r="H42" s="70"/>
      <c r="I42" s="70"/>
      <c r="J42" s="70"/>
      <c r="K42" s="137">
        <f t="shared" si="2"/>
        <v>2768950</v>
      </c>
    </row>
    <row r="43" spans="1:13" ht="24.95" customHeight="1">
      <c r="A43" s="60"/>
      <c r="B43" s="60"/>
      <c r="C43" s="134"/>
      <c r="D43" s="76" t="s">
        <v>148</v>
      </c>
      <c r="E43" s="75" t="s">
        <v>62</v>
      </c>
      <c r="F43" s="83" t="s">
        <v>79</v>
      </c>
      <c r="G43" s="69">
        <v>2905620</v>
      </c>
      <c r="H43" s="70"/>
      <c r="I43" s="70"/>
      <c r="J43" s="70"/>
      <c r="K43" s="137">
        <f t="shared" si="2"/>
        <v>2905620</v>
      </c>
    </row>
    <row r="44" spans="1:13" ht="24.95" customHeight="1">
      <c r="A44" s="60"/>
      <c r="B44" s="60"/>
      <c r="C44" s="134"/>
      <c r="D44" s="76" t="s">
        <v>149</v>
      </c>
      <c r="E44" s="75" t="s">
        <v>64</v>
      </c>
      <c r="F44" s="83" t="s">
        <v>80</v>
      </c>
      <c r="G44" s="69">
        <v>3368160</v>
      </c>
      <c r="H44" s="70"/>
      <c r="I44" s="70"/>
      <c r="J44" s="70"/>
      <c r="K44" s="137">
        <f t="shared" si="2"/>
        <v>3368160</v>
      </c>
    </row>
    <row r="45" spans="1:13">
      <c r="A45" s="60"/>
      <c r="B45" s="60"/>
      <c r="C45" s="134"/>
      <c r="D45" s="66" t="s">
        <v>150</v>
      </c>
      <c r="E45" s="75">
        <v>2569000</v>
      </c>
      <c r="F45" s="83" t="s">
        <v>81</v>
      </c>
      <c r="G45" s="69">
        <v>3583560</v>
      </c>
      <c r="H45" s="70"/>
      <c r="I45" s="70"/>
      <c r="J45" s="70"/>
      <c r="K45" s="137">
        <f t="shared" si="2"/>
        <v>3583560</v>
      </c>
    </row>
    <row r="46" spans="1:13" ht="24.95" customHeight="1">
      <c r="A46" s="60"/>
      <c r="B46" s="60"/>
      <c r="C46" s="134"/>
      <c r="D46" s="66" t="s">
        <v>151</v>
      </c>
      <c r="E46" s="75" t="s">
        <v>64</v>
      </c>
      <c r="F46" s="83" t="s">
        <v>82</v>
      </c>
      <c r="G46" s="69">
        <v>3325210</v>
      </c>
      <c r="H46" s="70"/>
      <c r="I46" s="70"/>
      <c r="J46" s="70"/>
      <c r="K46" s="137">
        <f t="shared" si="2"/>
        <v>3325210</v>
      </c>
    </row>
    <row r="47" spans="1:13" ht="24.95" customHeight="1">
      <c r="A47" s="60"/>
      <c r="B47" s="60"/>
      <c r="C47" s="134"/>
      <c r="D47" s="66" t="s">
        <v>152</v>
      </c>
      <c r="E47" s="75" t="s">
        <v>68</v>
      </c>
      <c r="F47" s="83" t="s">
        <v>83</v>
      </c>
      <c r="G47" s="69">
        <v>3334200</v>
      </c>
      <c r="H47" s="70"/>
      <c r="I47" s="70"/>
      <c r="J47" s="70"/>
      <c r="K47" s="137">
        <f t="shared" si="2"/>
        <v>3334200</v>
      </c>
    </row>
    <row r="48" spans="1:13" ht="24.95" customHeight="1">
      <c r="A48" s="60"/>
      <c r="B48" s="60"/>
      <c r="C48" s="134"/>
      <c r="D48" s="66" t="s">
        <v>153</v>
      </c>
      <c r="E48" s="75" t="s">
        <v>154</v>
      </c>
      <c r="F48" s="83" t="s">
        <v>156</v>
      </c>
      <c r="G48" s="69">
        <v>2904700</v>
      </c>
      <c r="H48" s="77"/>
      <c r="I48" s="77"/>
      <c r="J48" s="77"/>
      <c r="K48" s="137">
        <f t="shared" si="2"/>
        <v>2904700</v>
      </c>
    </row>
    <row r="49" spans="1:11" ht="14.25" thickBot="1">
      <c r="A49" s="60"/>
      <c r="B49" s="60"/>
      <c r="C49" s="134"/>
      <c r="D49" s="66" t="s">
        <v>18</v>
      </c>
      <c r="E49" s="75">
        <v>2203000</v>
      </c>
      <c r="F49" s="83" t="s">
        <v>218</v>
      </c>
      <c r="G49" s="69">
        <v>247930</v>
      </c>
      <c r="H49" s="77"/>
      <c r="I49" s="77"/>
      <c r="J49" s="77"/>
      <c r="K49" s="139">
        <f>SUM(G49:J49)</f>
        <v>247930</v>
      </c>
    </row>
    <row r="50" spans="1:11" ht="14.25" thickBot="1">
      <c r="A50" s="60"/>
      <c r="B50" s="60"/>
      <c r="C50" s="134"/>
      <c r="D50" s="50" t="s">
        <v>5</v>
      </c>
      <c r="E50" s="51"/>
      <c r="F50" s="52"/>
      <c r="G50" s="45">
        <f>SUM(G51:G62)</f>
        <v>8820000</v>
      </c>
      <c r="H50" s="86"/>
      <c r="I50" s="86"/>
      <c r="J50" s="86"/>
      <c r="K50" s="135">
        <f>SUM(K51:K62)</f>
        <v>8820000</v>
      </c>
    </row>
    <row r="51" spans="1:11">
      <c r="A51" s="60"/>
      <c r="B51" s="60"/>
      <c r="C51" s="134"/>
      <c r="D51" s="61" t="s">
        <v>11</v>
      </c>
      <c r="E51" s="1320" t="s">
        <v>84</v>
      </c>
      <c r="F51" s="1320"/>
      <c r="G51" s="64">
        <v>480000</v>
      </c>
      <c r="H51" s="65"/>
      <c r="I51" s="65"/>
      <c r="J51" s="65"/>
      <c r="K51" s="136">
        <f>SUM(G51:J51)</f>
        <v>480000</v>
      </c>
    </row>
    <row r="52" spans="1:11">
      <c r="A52" s="60"/>
      <c r="B52" s="60"/>
      <c r="C52" s="134"/>
      <c r="D52" s="66" t="s">
        <v>12</v>
      </c>
      <c r="E52" s="1320" t="s">
        <v>84</v>
      </c>
      <c r="F52" s="1320"/>
      <c r="G52" s="69">
        <v>480000</v>
      </c>
      <c r="H52" s="70"/>
      <c r="I52" s="70"/>
      <c r="J52" s="70"/>
      <c r="K52" s="137">
        <f t="shared" ref="K52:K62" si="3">SUM(G52:J52)</f>
        <v>480000</v>
      </c>
    </row>
    <row r="53" spans="1:11" ht="24" customHeight="1">
      <c r="A53" s="60"/>
      <c r="B53" s="60"/>
      <c r="C53" s="134"/>
      <c r="D53" s="66" t="s">
        <v>13</v>
      </c>
      <c r="E53" s="1320" t="s">
        <v>85</v>
      </c>
      <c r="F53" s="1320"/>
      <c r="G53" s="69">
        <v>720000</v>
      </c>
      <c r="H53" s="70"/>
      <c r="I53" s="70"/>
      <c r="J53" s="70"/>
      <c r="K53" s="137">
        <f t="shared" si="3"/>
        <v>720000</v>
      </c>
    </row>
    <row r="54" spans="1:11" ht="24" customHeight="1">
      <c r="A54" s="60"/>
      <c r="B54" s="60"/>
      <c r="C54" s="134"/>
      <c r="D54" s="66" t="s">
        <v>14</v>
      </c>
      <c r="E54" s="1345" t="s">
        <v>85</v>
      </c>
      <c r="F54" s="1345"/>
      <c r="G54" s="69">
        <v>960000</v>
      </c>
      <c r="H54" s="70"/>
      <c r="I54" s="70"/>
      <c r="J54" s="70"/>
      <c r="K54" s="137">
        <f t="shared" si="3"/>
        <v>960000</v>
      </c>
    </row>
    <row r="55" spans="1:11" ht="27" customHeight="1">
      <c r="A55" s="60"/>
      <c r="B55" s="60"/>
      <c r="C55" s="134"/>
      <c r="D55" s="66" t="s">
        <v>15</v>
      </c>
      <c r="E55" s="1320" t="s">
        <v>85</v>
      </c>
      <c r="F55" s="1320"/>
      <c r="G55" s="69">
        <v>720000</v>
      </c>
      <c r="H55" s="70"/>
      <c r="I55" s="70"/>
      <c r="J55" s="70"/>
      <c r="K55" s="137">
        <f t="shared" si="3"/>
        <v>720000</v>
      </c>
    </row>
    <row r="56" spans="1:11">
      <c r="A56" s="60"/>
      <c r="B56" s="60"/>
      <c r="C56" s="134"/>
      <c r="D56" s="66" t="s">
        <v>28</v>
      </c>
      <c r="E56" s="1345" t="s">
        <v>84</v>
      </c>
      <c r="F56" s="1346"/>
      <c r="G56" s="69">
        <v>480000</v>
      </c>
      <c r="H56" s="70"/>
      <c r="I56" s="70"/>
      <c r="J56" s="70"/>
      <c r="K56" s="137">
        <f t="shared" si="3"/>
        <v>480000</v>
      </c>
    </row>
    <row r="57" spans="1:11" ht="35.25" customHeight="1">
      <c r="A57" s="60"/>
      <c r="B57" s="60"/>
      <c r="C57" s="134"/>
      <c r="D57" s="66" t="s">
        <v>16</v>
      </c>
      <c r="E57" s="1345" t="s">
        <v>86</v>
      </c>
      <c r="F57" s="1345"/>
      <c r="G57" s="69">
        <v>1920000</v>
      </c>
      <c r="H57" s="70"/>
      <c r="I57" s="70"/>
      <c r="J57" s="70"/>
      <c r="K57" s="137">
        <f t="shared" si="3"/>
        <v>1920000</v>
      </c>
    </row>
    <row r="58" spans="1:11" ht="30" customHeight="1">
      <c r="A58" s="60"/>
      <c r="B58" s="60"/>
      <c r="C58" s="134"/>
      <c r="D58" s="66" t="s">
        <v>17</v>
      </c>
      <c r="E58" s="1345" t="s">
        <v>85</v>
      </c>
      <c r="F58" s="1345"/>
      <c r="G58" s="69">
        <v>660000</v>
      </c>
      <c r="H58" s="70"/>
      <c r="I58" s="70"/>
      <c r="J58" s="70"/>
      <c r="K58" s="137">
        <f t="shared" si="3"/>
        <v>660000</v>
      </c>
    </row>
    <row r="59" spans="1:11">
      <c r="A59" s="60"/>
      <c r="B59" s="60"/>
      <c r="C59" s="134"/>
      <c r="D59" s="66" t="s">
        <v>19</v>
      </c>
      <c r="E59" s="1345" t="s">
        <v>87</v>
      </c>
      <c r="F59" s="1345"/>
      <c r="G59" s="69">
        <v>960000</v>
      </c>
      <c r="H59" s="70"/>
      <c r="I59" s="70"/>
      <c r="J59" s="70"/>
      <c r="K59" s="137">
        <f t="shared" si="3"/>
        <v>960000</v>
      </c>
    </row>
    <row r="60" spans="1:11" ht="30.75" customHeight="1">
      <c r="A60" s="60"/>
      <c r="B60" s="60"/>
      <c r="C60" s="134"/>
      <c r="D60" s="66" t="s">
        <v>21</v>
      </c>
      <c r="E60" s="1320" t="s">
        <v>85</v>
      </c>
      <c r="F60" s="1320"/>
      <c r="G60" s="69">
        <v>720000</v>
      </c>
      <c r="H60" s="70"/>
      <c r="I60" s="70"/>
      <c r="J60" s="70"/>
      <c r="K60" s="137">
        <f t="shared" si="3"/>
        <v>720000</v>
      </c>
    </row>
    <row r="61" spans="1:11">
      <c r="A61" s="60"/>
      <c r="B61" s="60"/>
      <c r="C61" s="134"/>
      <c r="D61" s="66" t="s">
        <v>22</v>
      </c>
      <c r="E61" s="1320" t="s">
        <v>88</v>
      </c>
      <c r="F61" s="1320"/>
      <c r="G61" s="69">
        <v>240000</v>
      </c>
      <c r="H61" s="70"/>
      <c r="I61" s="70"/>
      <c r="J61" s="70"/>
      <c r="K61" s="137">
        <f t="shared" si="3"/>
        <v>240000</v>
      </c>
    </row>
    <row r="62" spans="1:11" ht="14.25" thickBot="1">
      <c r="A62" s="60"/>
      <c r="B62" s="60"/>
      <c r="C62" s="134"/>
      <c r="D62" s="66" t="s">
        <v>24</v>
      </c>
      <c r="E62" s="1347" t="s">
        <v>89</v>
      </c>
      <c r="F62" s="1347"/>
      <c r="G62" s="69">
        <v>480000</v>
      </c>
      <c r="H62" s="70"/>
      <c r="I62" s="70"/>
      <c r="J62" s="70"/>
      <c r="K62" s="137">
        <f t="shared" si="3"/>
        <v>480000</v>
      </c>
    </row>
    <row r="63" spans="1:11" ht="13.5" customHeight="1" thickBot="1">
      <c r="A63" s="60"/>
      <c r="B63" s="60"/>
      <c r="C63" s="134"/>
      <c r="D63" s="50" t="s">
        <v>7</v>
      </c>
      <c r="E63" s="51"/>
      <c r="F63" s="52"/>
      <c r="G63" s="45">
        <f>SUM(G64:G78)</f>
        <v>52483200</v>
      </c>
      <c r="H63" s="86"/>
      <c r="I63" s="86"/>
      <c r="J63" s="86"/>
      <c r="K63" s="135">
        <f>SUM(K64:K78)</f>
        <v>52483200</v>
      </c>
    </row>
    <row r="64" spans="1:11" ht="24.95" customHeight="1">
      <c r="A64" s="60"/>
      <c r="B64" s="60"/>
      <c r="C64" s="134"/>
      <c r="D64" s="61" t="s">
        <v>140</v>
      </c>
      <c r="E64" s="84">
        <v>4697000</v>
      </c>
      <c r="F64" s="83" t="s">
        <v>90</v>
      </c>
      <c r="G64" s="64">
        <v>5895600</v>
      </c>
      <c r="H64" s="65"/>
      <c r="I64" s="65"/>
      <c r="J64" s="65"/>
      <c r="K64" s="136">
        <f>SUM(G64:J64)</f>
        <v>5895600</v>
      </c>
    </row>
    <row r="65" spans="1:13" ht="24.95" customHeight="1">
      <c r="A65" s="60"/>
      <c r="B65" s="60"/>
      <c r="C65" s="134"/>
      <c r="D65" s="66" t="s">
        <v>141</v>
      </c>
      <c r="E65" s="67" t="s">
        <v>47</v>
      </c>
      <c r="F65" s="83" t="s">
        <v>91</v>
      </c>
      <c r="G65" s="69">
        <v>5127600</v>
      </c>
      <c r="H65" s="70"/>
      <c r="I65" s="70"/>
      <c r="J65" s="70"/>
      <c r="K65" s="137">
        <f t="shared" ref="K65:K78" si="4">SUM(G65:J65)</f>
        <v>5127600</v>
      </c>
    </row>
    <row r="66" spans="1:13" ht="24.95" customHeight="1">
      <c r="A66" s="60"/>
      <c r="B66" s="60"/>
      <c r="C66" s="134"/>
      <c r="D66" s="66" t="s">
        <v>142</v>
      </c>
      <c r="E66" s="71" t="s">
        <v>49</v>
      </c>
      <c r="F66" s="83" t="s">
        <v>92</v>
      </c>
      <c r="G66" s="69">
        <v>4454400</v>
      </c>
      <c r="H66" s="70"/>
      <c r="I66" s="70"/>
      <c r="J66" s="70"/>
      <c r="K66" s="137">
        <f t="shared" si="4"/>
        <v>4454400</v>
      </c>
    </row>
    <row r="67" spans="1:13" ht="24.95" customHeight="1">
      <c r="A67" s="60"/>
      <c r="B67" s="60"/>
      <c r="C67" s="134"/>
      <c r="D67" s="66" t="s">
        <v>143</v>
      </c>
      <c r="E67" s="71" t="s">
        <v>51</v>
      </c>
      <c r="F67" s="83" t="s">
        <v>93</v>
      </c>
      <c r="G67" s="69">
        <v>4157400</v>
      </c>
      <c r="H67" s="70"/>
      <c r="I67" s="70"/>
      <c r="J67" s="70"/>
      <c r="K67" s="137">
        <f t="shared" si="4"/>
        <v>4157400</v>
      </c>
    </row>
    <row r="68" spans="1:13" ht="24.95" customHeight="1">
      <c r="A68" s="60"/>
      <c r="B68" s="60"/>
      <c r="C68" s="134"/>
      <c r="D68" s="66" t="s">
        <v>144</v>
      </c>
      <c r="E68" s="75">
        <v>3403000</v>
      </c>
      <c r="F68" s="83" t="s">
        <v>94</v>
      </c>
      <c r="G68" s="69">
        <v>4185600</v>
      </c>
      <c r="H68" s="70"/>
      <c r="I68" s="70"/>
      <c r="J68" s="70"/>
      <c r="K68" s="137">
        <f t="shared" si="4"/>
        <v>4185600</v>
      </c>
    </row>
    <row r="69" spans="1:13" ht="24.95" customHeight="1">
      <c r="A69" s="60"/>
      <c r="B69" s="60"/>
      <c r="C69" s="134"/>
      <c r="D69" s="66" t="s">
        <v>27</v>
      </c>
      <c r="E69" s="71" t="s">
        <v>55</v>
      </c>
      <c r="F69" s="83" t="s">
        <v>95</v>
      </c>
      <c r="G69" s="69">
        <v>2816400</v>
      </c>
      <c r="H69" s="70"/>
      <c r="I69" s="70"/>
      <c r="J69" s="70"/>
      <c r="K69" s="137">
        <f t="shared" si="4"/>
        <v>2816400</v>
      </c>
    </row>
    <row r="70" spans="1:13" ht="24.95" customHeight="1">
      <c r="A70" s="60"/>
      <c r="B70" s="60"/>
      <c r="C70" s="134"/>
      <c r="D70" s="66" t="s">
        <v>145</v>
      </c>
      <c r="E70" s="75">
        <v>2255000</v>
      </c>
      <c r="F70" s="83" t="s">
        <v>96</v>
      </c>
      <c r="G70" s="69">
        <v>2859600</v>
      </c>
      <c r="H70" s="70"/>
      <c r="I70" s="70"/>
      <c r="J70" s="70"/>
      <c r="K70" s="137">
        <f t="shared" si="4"/>
        <v>2859600</v>
      </c>
    </row>
    <row r="71" spans="1:13" ht="24.95" customHeight="1">
      <c r="A71" s="60"/>
      <c r="B71" s="60"/>
      <c r="C71" s="134"/>
      <c r="D71" s="76" t="s">
        <v>146</v>
      </c>
      <c r="E71" s="71" t="s">
        <v>58</v>
      </c>
      <c r="F71" s="83" t="s">
        <v>97</v>
      </c>
      <c r="G71" s="69">
        <v>3004200</v>
      </c>
      <c r="H71" s="70"/>
      <c r="I71" s="70"/>
      <c r="J71" s="70"/>
      <c r="K71" s="137">
        <f t="shared" si="4"/>
        <v>3004200</v>
      </c>
    </row>
    <row r="72" spans="1:13" ht="24.95" customHeight="1">
      <c r="A72" s="60"/>
      <c r="B72" s="60"/>
      <c r="C72" s="134"/>
      <c r="D72" s="66" t="s">
        <v>147</v>
      </c>
      <c r="E72" s="75">
        <v>2081000</v>
      </c>
      <c r="F72" s="83" t="s">
        <v>98</v>
      </c>
      <c r="G72" s="69">
        <v>2677200</v>
      </c>
      <c r="H72" s="70"/>
      <c r="I72" s="70"/>
      <c r="J72" s="70"/>
      <c r="K72" s="137">
        <f t="shared" si="4"/>
        <v>2677200</v>
      </c>
      <c r="M72" s="72"/>
    </row>
    <row r="73" spans="1:13" ht="24.95" customHeight="1">
      <c r="A73" s="60"/>
      <c r="B73" s="60"/>
      <c r="C73" s="134"/>
      <c r="D73" s="76" t="s">
        <v>148</v>
      </c>
      <c r="E73" s="75">
        <v>2051000</v>
      </c>
      <c r="F73" s="83" t="s">
        <v>99</v>
      </c>
      <c r="G73" s="69">
        <v>2577600</v>
      </c>
      <c r="H73" s="70"/>
      <c r="I73" s="70"/>
      <c r="J73" s="70"/>
      <c r="K73" s="137">
        <f t="shared" si="4"/>
        <v>2577600</v>
      </c>
    </row>
    <row r="74" spans="1:13" ht="24.95" customHeight="1">
      <c r="A74" s="60"/>
      <c r="B74" s="60"/>
      <c r="C74" s="134"/>
      <c r="D74" s="76" t="s">
        <v>149</v>
      </c>
      <c r="E74" s="75" t="s">
        <v>64</v>
      </c>
      <c r="F74" s="83" t="s">
        <v>100</v>
      </c>
      <c r="G74" s="69">
        <v>3004800</v>
      </c>
      <c r="H74" s="70"/>
      <c r="I74" s="70"/>
      <c r="J74" s="70"/>
      <c r="K74" s="137">
        <f t="shared" si="4"/>
        <v>3004800</v>
      </c>
    </row>
    <row r="75" spans="1:13" ht="24.95" customHeight="1">
      <c r="A75" s="60"/>
      <c r="B75" s="60"/>
      <c r="C75" s="134"/>
      <c r="D75" s="66" t="s">
        <v>150</v>
      </c>
      <c r="E75" s="75">
        <v>2569000</v>
      </c>
      <c r="F75" s="83" t="s">
        <v>101</v>
      </c>
      <c r="G75" s="69">
        <v>3208800</v>
      </c>
      <c r="H75" s="70"/>
      <c r="I75" s="70"/>
      <c r="J75" s="70"/>
      <c r="K75" s="137">
        <f t="shared" si="4"/>
        <v>3208800</v>
      </c>
    </row>
    <row r="76" spans="1:13" ht="24.95" customHeight="1">
      <c r="A76" s="60"/>
      <c r="B76" s="60"/>
      <c r="C76" s="134"/>
      <c r="D76" s="66" t="s">
        <v>151</v>
      </c>
      <c r="E76" s="75" t="s">
        <v>64</v>
      </c>
      <c r="F76" s="83" t="s">
        <v>100</v>
      </c>
      <c r="G76" s="69">
        <v>2961600</v>
      </c>
      <c r="H76" s="70"/>
      <c r="I76" s="70"/>
      <c r="J76" s="70"/>
      <c r="K76" s="137">
        <f t="shared" si="4"/>
        <v>2961600</v>
      </c>
    </row>
    <row r="77" spans="1:13" ht="24.95" customHeight="1">
      <c r="A77" s="60"/>
      <c r="B77" s="60"/>
      <c r="C77" s="134"/>
      <c r="D77" s="66" t="s">
        <v>152</v>
      </c>
      <c r="E77" s="75" t="s">
        <v>68</v>
      </c>
      <c r="F77" s="83" t="s">
        <v>102</v>
      </c>
      <c r="G77" s="69">
        <v>2977200</v>
      </c>
      <c r="H77" s="70"/>
      <c r="I77" s="70"/>
      <c r="J77" s="70"/>
      <c r="K77" s="137">
        <f t="shared" si="4"/>
        <v>2977200</v>
      </c>
    </row>
    <row r="78" spans="1:13" ht="24.95" customHeight="1" thickBot="1">
      <c r="A78" s="60"/>
      <c r="B78" s="60"/>
      <c r="C78" s="134"/>
      <c r="D78" s="66" t="s">
        <v>153</v>
      </c>
      <c r="E78" s="75">
        <v>2146000</v>
      </c>
      <c r="F78" s="83"/>
      <c r="G78" s="69">
        <v>2575200</v>
      </c>
      <c r="H78" s="77"/>
      <c r="I78" s="77"/>
      <c r="J78" s="77"/>
      <c r="K78" s="139">
        <f t="shared" si="4"/>
        <v>2575200</v>
      </c>
    </row>
    <row r="79" spans="1:13" ht="14.25" thickBot="1">
      <c r="A79" s="60"/>
      <c r="B79" s="60"/>
      <c r="C79" s="134"/>
      <c r="D79" s="50" t="s">
        <v>8</v>
      </c>
      <c r="E79" s="51"/>
      <c r="F79" s="52"/>
      <c r="G79" s="45">
        <f>SUM(G80)</f>
        <v>2400000</v>
      </c>
      <c r="H79" s="86"/>
      <c r="I79" s="86"/>
      <c r="J79" s="86"/>
      <c r="K79" s="87">
        <f>SUM(K80)</f>
        <v>2400000</v>
      </c>
    </row>
    <row r="80" spans="1:13" ht="24.95" customHeight="1" thickBot="1">
      <c r="A80" s="60"/>
      <c r="B80" s="60"/>
      <c r="C80" s="134"/>
      <c r="D80" s="36" t="s">
        <v>10</v>
      </c>
      <c r="E80" s="216" t="s">
        <v>103</v>
      </c>
      <c r="F80" s="217"/>
      <c r="G80" s="41">
        <f>200000*12</f>
        <v>2400000</v>
      </c>
      <c r="H80" s="42"/>
      <c r="I80" s="42"/>
      <c r="J80" s="42"/>
      <c r="K80" s="43">
        <f>SUM(G80:J80)</f>
        <v>2400000</v>
      </c>
    </row>
    <row r="81" spans="1:11" ht="24.95" customHeight="1" thickBot="1">
      <c r="A81" s="60"/>
      <c r="B81" s="60"/>
      <c r="C81" s="134"/>
      <c r="D81" s="50" t="s">
        <v>9</v>
      </c>
      <c r="E81" s="51"/>
      <c r="F81" s="52"/>
      <c r="G81" s="45">
        <f>SUM(G82:G83)</f>
        <v>4310000</v>
      </c>
      <c r="H81" s="86"/>
      <c r="I81" s="86"/>
      <c r="J81" s="86"/>
      <c r="K81" s="87">
        <f>SUM(K82:K83)</f>
        <v>4310000</v>
      </c>
    </row>
    <row r="82" spans="1:11" ht="24.95" customHeight="1">
      <c r="A82" s="60"/>
      <c r="B82" s="60"/>
      <c r="C82" s="134"/>
      <c r="D82" s="88" t="s">
        <v>104</v>
      </c>
      <c r="E82" s="216"/>
      <c r="F82" s="217" t="s">
        <v>105</v>
      </c>
      <c r="G82" s="41">
        <v>2310000</v>
      </c>
      <c r="H82" s="42"/>
      <c r="I82" s="42"/>
      <c r="J82" s="42"/>
      <c r="K82" s="43">
        <f>SUM(G82:J82)</f>
        <v>2310000</v>
      </c>
    </row>
    <row r="83" spans="1:11" ht="24.95" customHeight="1" thickBot="1">
      <c r="A83" s="60"/>
      <c r="B83" s="60"/>
      <c r="C83" s="134"/>
      <c r="D83" s="89" t="s">
        <v>106</v>
      </c>
      <c r="E83" s="216"/>
      <c r="F83" s="217" t="s">
        <v>107</v>
      </c>
      <c r="G83" s="41">
        <v>2000000</v>
      </c>
      <c r="H83" s="42"/>
      <c r="I83" s="42"/>
      <c r="J83" s="42"/>
      <c r="K83" s="43">
        <f>G83</f>
        <v>2000000</v>
      </c>
    </row>
    <row r="84" spans="1:11" ht="14.25" thickBot="1">
      <c r="A84" s="60"/>
      <c r="B84" s="60"/>
      <c r="C84" s="134"/>
      <c r="D84" s="50" t="s">
        <v>108</v>
      </c>
      <c r="E84" s="51"/>
      <c r="F84" s="52"/>
      <c r="G84" s="45">
        <f>SUM(G85:G100)</f>
        <v>54952600</v>
      </c>
      <c r="H84" s="86"/>
      <c r="I84" s="86"/>
      <c r="J84" s="86"/>
      <c r="K84" s="87">
        <f>SUM(G84:J84)</f>
        <v>54952600</v>
      </c>
    </row>
    <row r="85" spans="1:11" ht="24.95" customHeight="1">
      <c r="A85" s="60"/>
      <c r="B85" s="60"/>
      <c r="C85" s="134"/>
      <c r="D85" s="61" t="s">
        <v>140</v>
      </c>
      <c r="E85" s="85">
        <v>69011600</v>
      </c>
      <c r="F85" s="83" t="s">
        <v>163</v>
      </c>
      <c r="G85" s="90">
        <v>5748640</v>
      </c>
      <c r="H85" s="65"/>
      <c r="I85" s="65"/>
      <c r="J85" s="65"/>
      <c r="K85" s="136">
        <f>SUM(G85:J85)</f>
        <v>5748640</v>
      </c>
    </row>
    <row r="86" spans="1:11" ht="24.95" customHeight="1">
      <c r="A86" s="60"/>
      <c r="B86" s="60"/>
      <c r="C86" s="134"/>
      <c r="D86" s="66" t="s">
        <v>141</v>
      </c>
      <c r="E86" s="85">
        <v>63732900</v>
      </c>
      <c r="F86" s="83" t="s">
        <v>164</v>
      </c>
      <c r="G86" s="69">
        <v>5308920</v>
      </c>
      <c r="H86" s="70"/>
      <c r="I86" s="70"/>
      <c r="J86" s="70"/>
      <c r="K86" s="137">
        <f t="shared" ref="K86:K98" si="5">SUM(G86:J86)</f>
        <v>5308920</v>
      </c>
    </row>
    <row r="87" spans="1:11" ht="24.95" customHeight="1">
      <c r="A87" s="60"/>
      <c r="B87" s="60"/>
      <c r="C87" s="134"/>
      <c r="D87" s="66" t="s">
        <v>142</v>
      </c>
      <c r="E87" s="85">
        <v>55842900</v>
      </c>
      <c r="F87" s="83" t="s">
        <v>165</v>
      </c>
      <c r="G87" s="69">
        <v>4651740</v>
      </c>
      <c r="H87" s="70"/>
      <c r="I87" s="70"/>
      <c r="J87" s="70"/>
      <c r="K87" s="137">
        <f t="shared" si="5"/>
        <v>4651740</v>
      </c>
    </row>
    <row r="88" spans="1:11" ht="24.95" customHeight="1">
      <c r="A88" s="60"/>
      <c r="B88" s="60"/>
      <c r="C88" s="134"/>
      <c r="D88" s="66" t="s">
        <v>143</v>
      </c>
      <c r="E88" s="85">
        <v>52392040</v>
      </c>
      <c r="F88" s="83" t="s">
        <v>166</v>
      </c>
      <c r="G88" s="69">
        <v>4364230</v>
      </c>
      <c r="H88" s="70"/>
      <c r="I88" s="70"/>
      <c r="J88" s="70"/>
      <c r="K88" s="137">
        <f t="shared" si="5"/>
        <v>4364230</v>
      </c>
    </row>
    <row r="89" spans="1:11" ht="24.95" customHeight="1">
      <c r="A89" s="60"/>
      <c r="B89" s="60"/>
      <c r="C89" s="134"/>
      <c r="D89" s="66" t="s">
        <v>144</v>
      </c>
      <c r="E89" s="85">
        <v>52675370</v>
      </c>
      <c r="F89" s="83" t="s">
        <v>167</v>
      </c>
      <c r="G89" s="69">
        <v>4387820</v>
      </c>
      <c r="H89" s="70"/>
      <c r="I89" s="70"/>
      <c r="J89" s="70"/>
      <c r="K89" s="137">
        <f t="shared" si="5"/>
        <v>4387820</v>
      </c>
    </row>
    <row r="90" spans="1:11" ht="24.95" customHeight="1">
      <c r="A90" s="60"/>
      <c r="B90" s="60"/>
      <c r="C90" s="134"/>
      <c r="D90" s="66" t="s">
        <v>27</v>
      </c>
      <c r="E90" s="85">
        <v>36140500</v>
      </c>
      <c r="F90" s="83" t="s">
        <v>168</v>
      </c>
      <c r="G90" s="69">
        <v>3010480</v>
      </c>
      <c r="H90" s="70"/>
      <c r="I90" s="70"/>
      <c r="J90" s="70"/>
      <c r="K90" s="137">
        <f t="shared" si="5"/>
        <v>3010480</v>
      </c>
    </row>
    <row r="91" spans="1:11" ht="24.95" customHeight="1">
      <c r="A91" s="60"/>
      <c r="B91" s="60"/>
      <c r="C91" s="134"/>
      <c r="D91" s="66" t="s">
        <v>145</v>
      </c>
      <c r="E91" s="85">
        <v>37783200</v>
      </c>
      <c r="F91" s="83" t="s">
        <v>169</v>
      </c>
      <c r="G91" s="69">
        <v>3147360</v>
      </c>
      <c r="H91" s="70"/>
      <c r="I91" s="70"/>
      <c r="J91" s="70"/>
      <c r="K91" s="137">
        <f t="shared" si="5"/>
        <v>3147360</v>
      </c>
    </row>
    <row r="92" spans="1:11" ht="24.95" customHeight="1">
      <c r="A92" s="60"/>
      <c r="B92" s="60"/>
      <c r="C92" s="134"/>
      <c r="D92" s="76" t="s">
        <v>146</v>
      </c>
      <c r="E92" s="85">
        <v>37766800</v>
      </c>
      <c r="F92" s="83" t="s">
        <v>170</v>
      </c>
      <c r="G92" s="69">
        <v>3145930</v>
      </c>
      <c r="H92" s="70"/>
      <c r="I92" s="70"/>
      <c r="J92" s="70"/>
      <c r="K92" s="137">
        <f t="shared" si="5"/>
        <v>3145930</v>
      </c>
    </row>
    <row r="93" spans="1:11" ht="24.95" customHeight="1">
      <c r="A93" s="60"/>
      <c r="B93" s="60"/>
      <c r="C93" s="134"/>
      <c r="D93" s="66" t="s">
        <v>147</v>
      </c>
      <c r="E93" s="85">
        <v>31827150</v>
      </c>
      <c r="F93" s="83" t="s">
        <v>171</v>
      </c>
      <c r="G93" s="69">
        <v>2651170</v>
      </c>
      <c r="H93" s="70"/>
      <c r="I93" s="70"/>
      <c r="J93" s="70"/>
      <c r="K93" s="137">
        <f t="shared" si="5"/>
        <v>2651170</v>
      </c>
    </row>
    <row r="94" spans="1:11" ht="24.95" customHeight="1">
      <c r="A94" s="60"/>
      <c r="B94" s="60"/>
      <c r="C94" s="134"/>
      <c r="D94" s="76" t="s">
        <v>148</v>
      </c>
      <c r="E94" s="85">
        <v>33434220</v>
      </c>
      <c r="F94" s="83" t="s">
        <v>172</v>
      </c>
      <c r="G94" s="69">
        <v>2785070</v>
      </c>
      <c r="H94" s="70"/>
      <c r="I94" s="70"/>
      <c r="J94" s="70"/>
      <c r="K94" s="137">
        <f t="shared" si="5"/>
        <v>2785070</v>
      </c>
    </row>
    <row r="95" spans="1:11" ht="24.95" customHeight="1">
      <c r="A95" s="60"/>
      <c r="B95" s="60"/>
      <c r="C95" s="134"/>
      <c r="D95" s="76" t="s">
        <v>149</v>
      </c>
      <c r="E95" s="85">
        <v>38379960</v>
      </c>
      <c r="F95" s="83" t="s">
        <v>173</v>
      </c>
      <c r="G95" s="69">
        <v>3197040</v>
      </c>
      <c r="H95" s="70"/>
      <c r="I95" s="70"/>
      <c r="J95" s="70"/>
      <c r="K95" s="137">
        <f t="shared" si="5"/>
        <v>3197040</v>
      </c>
    </row>
    <row r="96" spans="1:11" ht="24.95" customHeight="1">
      <c r="A96" s="60"/>
      <c r="B96" s="60"/>
      <c r="C96" s="134"/>
      <c r="D96" s="66" t="s">
        <v>150</v>
      </c>
      <c r="E96" s="85">
        <v>40320360</v>
      </c>
      <c r="F96" s="83" t="s">
        <v>174</v>
      </c>
      <c r="G96" s="69">
        <v>3358720</v>
      </c>
      <c r="H96" s="70"/>
      <c r="I96" s="70"/>
      <c r="J96" s="70"/>
      <c r="K96" s="137">
        <f t="shared" si="5"/>
        <v>3358720</v>
      </c>
    </row>
    <row r="97" spans="1:16" ht="24.95" customHeight="1">
      <c r="A97" s="60"/>
      <c r="B97" s="60"/>
      <c r="C97" s="134"/>
      <c r="D97" s="66" t="s">
        <v>151</v>
      </c>
      <c r="E97" s="85">
        <v>37174810</v>
      </c>
      <c r="F97" s="83" t="s">
        <v>175</v>
      </c>
      <c r="G97" s="69">
        <v>3096620</v>
      </c>
      <c r="H97" s="70"/>
      <c r="I97" s="70"/>
      <c r="J97" s="70"/>
      <c r="K97" s="137">
        <f t="shared" si="5"/>
        <v>3096620</v>
      </c>
    </row>
    <row r="98" spans="1:16" ht="24.95" customHeight="1">
      <c r="A98" s="60"/>
      <c r="B98" s="60"/>
      <c r="C98" s="134"/>
      <c r="D98" s="66" t="s">
        <v>152</v>
      </c>
      <c r="E98" s="85">
        <v>37763400</v>
      </c>
      <c r="F98" s="83" t="s">
        <v>176</v>
      </c>
      <c r="G98" s="69">
        <v>3145700</v>
      </c>
      <c r="H98" s="70"/>
      <c r="I98" s="70"/>
      <c r="J98" s="70"/>
      <c r="K98" s="137">
        <f t="shared" si="5"/>
        <v>3145700</v>
      </c>
    </row>
    <row r="99" spans="1:16" ht="24.95" customHeight="1">
      <c r="A99" s="60"/>
      <c r="B99" s="60"/>
      <c r="C99" s="134"/>
      <c r="D99" s="66" t="s">
        <v>153</v>
      </c>
      <c r="E99" s="85">
        <v>32461900</v>
      </c>
      <c r="F99" s="83" t="s">
        <v>177</v>
      </c>
      <c r="G99" s="80">
        <v>2740670</v>
      </c>
      <c r="H99" s="77"/>
      <c r="I99" s="77"/>
      <c r="J99" s="77"/>
      <c r="K99" s="139">
        <f>SUM(G99:J99)</f>
        <v>2740670</v>
      </c>
    </row>
    <row r="100" spans="1:16" ht="24.95" customHeight="1" thickBot="1">
      <c r="A100" s="60"/>
      <c r="B100" s="60"/>
      <c r="C100" s="134"/>
      <c r="D100" s="215" t="s">
        <v>18</v>
      </c>
      <c r="E100" s="141">
        <v>2550930</v>
      </c>
      <c r="F100" s="142" t="s">
        <v>178</v>
      </c>
      <c r="G100" s="41">
        <v>212490</v>
      </c>
      <c r="H100" s="42"/>
      <c r="I100" s="42"/>
      <c r="J100" s="42"/>
      <c r="K100" s="139">
        <f>SUM(G100:J100)</f>
        <v>212490</v>
      </c>
    </row>
    <row r="101" spans="1:16" ht="15" customHeight="1" thickBot="1">
      <c r="A101" s="60"/>
      <c r="B101" s="60"/>
      <c r="C101" s="134"/>
      <c r="D101" s="1348" t="s">
        <v>25</v>
      </c>
      <c r="E101" s="1349"/>
      <c r="F101" s="214"/>
      <c r="G101" s="45">
        <f>SUM(G102:G105)</f>
        <v>64388360</v>
      </c>
      <c r="H101" s="86"/>
      <c r="I101" s="86"/>
      <c r="J101" s="86"/>
      <c r="K101" s="87">
        <f>SUM(K102:K105)</f>
        <v>64388360</v>
      </c>
    </row>
    <row r="102" spans="1:16" ht="22.5" customHeight="1">
      <c r="A102" s="60"/>
      <c r="B102" s="60"/>
      <c r="C102" s="134"/>
      <c r="D102" s="66" t="s">
        <v>109</v>
      </c>
      <c r="E102" s="1345" t="s">
        <v>179</v>
      </c>
      <c r="F102" s="1346"/>
      <c r="G102" s="41">
        <v>29666510</v>
      </c>
      <c r="H102" s="49"/>
      <c r="I102" s="49"/>
      <c r="J102" s="49"/>
      <c r="K102" s="136">
        <f>SUM(G102:J102)</f>
        <v>29666510</v>
      </c>
    </row>
    <row r="103" spans="1:16" ht="22.5">
      <c r="A103" s="60"/>
      <c r="B103" s="60"/>
      <c r="C103" s="134"/>
      <c r="D103" s="61" t="s">
        <v>110</v>
      </c>
      <c r="E103" s="1320" t="s">
        <v>180</v>
      </c>
      <c r="F103" s="1344"/>
      <c r="G103" s="90">
        <v>24239890</v>
      </c>
      <c r="H103" s="65"/>
      <c r="I103" s="65"/>
      <c r="J103" s="65"/>
      <c r="K103" s="136">
        <f>SUM(G103:J103)</f>
        <v>24239890</v>
      </c>
      <c r="N103" s="72"/>
      <c r="O103" s="143"/>
      <c r="P103" s="73"/>
    </row>
    <row r="104" spans="1:16" ht="24.95" customHeight="1">
      <c r="A104" s="60"/>
      <c r="B104" s="60"/>
      <c r="C104" s="134"/>
      <c r="D104" s="144" t="s">
        <v>111</v>
      </c>
      <c r="E104" s="1350" t="s">
        <v>181</v>
      </c>
      <c r="F104" s="1351"/>
      <c r="G104" s="145">
        <v>5273860</v>
      </c>
      <c r="H104" s="146"/>
      <c r="I104" s="146"/>
      <c r="J104" s="146"/>
      <c r="K104" s="147">
        <f>SUM(G104:J104)</f>
        <v>5273860</v>
      </c>
      <c r="O104" s="143"/>
      <c r="P104" s="73"/>
    </row>
    <row r="105" spans="1:16" ht="24.95" customHeight="1" thickBot="1">
      <c r="A105" s="60"/>
      <c r="B105" s="60"/>
      <c r="C105" s="60"/>
      <c r="D105" s="148" t="s">
        <v>112</v>
      </c>
      <c r="E105" s="1352" t="s">
        <v>182</v>
      </c>
      <c r="F105" s="1353"/>
      <c r="G105" s="149">
        <v>5208100</v>
      </c>
      <c r="H105" s="150"/>
      <c r="I105" s="150"/>
      <c r="J105" s="150"/>
      <c r="K105" s="151">
        <f>G105</f>
        <v>5208100</v>
      </c>
      <c r="O105" s="143"/>
      <c r="P105" s="73"/>
    </row>
    <row r="106" spans="1:16" ht="14.25" thickBot="1">
      <c r="A106" s="60"/>
      <c r="B106" s="60"/>
      <c r="C106" s="60"/>
      <c r="D106" s="50" t="s">
        <v>161</v>
      </c>
      <c r="E106" s="51"/>
      <c r="F106" s="52"/>
      <c r="G106" s="45">
        <f>SUM(G107:G107)</f>
        <v>73344000</v>
      </c>
      <c r="H106" s="86"/>
      <c r="I106" s="86"/>
      <c r="J106" s="86"/>
      <c r="K106" s="87">
        <f>SUM(K107)</f>
        <v>73344000</v>
      </c>
      <c r="M106" s="143"/>
      <c r="O106" s="143"/>
      <c r="P106" s="73"/>
    </row>
    <row r="107" spans="1:16" ht="24.95" customHeight="1" thickBot="1">
      <c r="A107" s="60"/>
      <c r="B107" s="60"/>
      <c r="C107" s="60"/>
      <c r="D107" s="1354" t="s">
        <v>158</v>
      </c>
      <c r="E107" s="1355"/>
      <c r="F107" s="1356"/>
      <c r="G107" s="41">
        <f>61120*100*12</f>
        <v>73344000</v>
      </c>
      <c r="H107" s="42"/>
      <c r="I107" s="42"/>
      <c r="J107" s="42"/>
      <c r="K107" s="43">
        <f>SUM(G107:J107)</f>
        <v>73344000</v>
      </c>
    </row>
    <row r="108" spans="1:16" ht="14.25" thickBot="1">
      <c r="A108" s="60"/>
      <c r="B108" s="60"/>
      <c r="C108" s="60"/>
      <c r="D108" s="50" t="s">
        <v>113</v>
      </c>
      <c r="E108" s="51"/>
      <c r="F108" s="52"/>
      <c r="G108" s="45">
        <f>SUM(G109:G111)</f>
        <v>229650000</v>
      </c>
      <c r="H108" s="86"/>
      <c r="I108" s="86"/>
      <c r="J108" s="86"/>
      <c r="K108" s="135">
        <f>SUM(K109:K111)</f>
        <v>229650000</v>
      </c>
      <c r="M108" s="143"/>
    </row>
    <row r="109" spans="1:16">
      <c r="A109" s="60"/>
      <c r="B109" s="60"/>
      <c r="C109" s="60"/>
      <c r="D109" s="36" t="s">
        <v>250</v>
      </c>
      <c r="E109" s="216"/>
      <c r="F109" s="217"/>
      <c r="G109" s="37">
        <v>126000000</v>
      </c>
      <c r="H109" s="152"/>
      <c r="I109" s="152"/>
      <c r="J109" s="152"/>
      <c r="K109" s="99">
        <f>SUM(G109:J109)</f>
        <v>126000000</v>
      </c>
    </row>
    <row r="110" spans="1:16">
      <c r="A110" s="60"/>
      <c r="B110" s="60"/>
      <c r="C110" s="60"/>
      <c r="D110" s="36" t="s">
        <v>157</v>
      </c>
      <c r="E110" s="216"/>
      <c r="F110" s="217"/>
      <c r="G110" s="38">
        <f>2500*3*113*100</f>
        <v>84750000</v>
      </c>
      <c r="H110" s="42"/>
      <c r="I110" s="42"/>
      <c r="J110" s="42"/>
      <c r="K110" s="43">
        <f>SUM(G110:J110)</f>
        <v>84750000</v>
      </c>
    </row>
    <row r="111" spans="1:16" ht="14.25" thickBot="1">
      <c r="A111" s="60"/>
      <c r="B111" s="60"/>
      <c r="C111" s="60"/>
      <c r="D111" s="36" t="s">
        <v>251</v>
      </c>
      <c r="E111" s="216"/>
      <c r="F111" s="217"/>
      <c r="G111" s="38">
        <v>18900000</v>
      </c>
      <c r="H111" s="42"/>
      <c r="I111" s="42"/>
      <c r="J111" s="42"/>
      <c r="K111" s="43">
        <f>SUM(G111:J111)</f>
        <v>18900000</v>
      </c>
    </row>
    <row r="112" spans="1:16" ht="14.25" thickBot="1">
      <c r="A112" s="60"/>
      <c r="B112" s="60"/>
      <c r="C112" s="60"/>
      <c r="D112" s="221" t="s">
        <v>114</v>
      </c>
      <c r="E112" s="222"/>
      <c r="F112" s="223"/>
      <c r="G112" s="224">
        <f>G113</f>
        <v>48000000</v>
      </c>
      <c r="H112" s="225"/>
      <c r="I112" s="225"/>
      <c r="J112" s="225"/>
      <c r="K112" s="226">
        <f>K113</f>
        <v>48000000</v>
      </c>
    </row>
    <row r="113" spans="1:13" ht="24" customHeight="1" thickBot="1">
      <c r="A113" s="60"/>
      <c r="B113" s="60"/>
      <c r="C113" s="60"/>
      <c r="D113" s="1357" t="s">
        <v>115</v>
      </c>
      <c r="E113" s="1358"/>
      <c r="F113" s="1359"/>
      <c r="G113" s="227">
        <v>48000000</v>
      </c>
      <c r="H113" s="228"/>
      <c r="I113" s="229"/>
      <c r="J113" s="229"/>
      <c r="K113" s="230">
        <f>G113</f>
        <v>48000000</v>
      </c>
    </row>
    <row r="114" spans="1:13" ht="14.25" thickBot="1">
      <c r="A114" s="60"/>
      <c r="B114" s="60"/>
      <c r="C114" s="60"/>
      <c r="D114" s="50" t="s">
        <v>116</v>
      </c>
      <c r="E114" s="53"/>
      <c r="F114" s="95"/>
      <c r="G114" s="50">
        <f>SUM(G115,G117,G119)</f>
        <v>446184772</v>
      </c>
      <c r="H114" s="86"/>
      <c r="I114" s="86"/>
      <c r="J114" s="86"/>
      <c r="K114" s="135">
        <f>SUM(K115,K119+K117)</f>
        <v>446184772</v>
      </c>
    </row>
    <row r="115" spans="1:13" ht="14.25" thickBot="1">
      <c r="A115" s="60"/>
      <c r="B115" s="60"/>
      <c r="C115" s="60"/>
      <c r="D115" s="221" t="s">
        <v>117</v>
      </c>
      <c r="E115" s="222"/>
      <c r="F115" s="223"/>
      <c r="G115" s="224">
        <f>SUM(G116)</f>
        <v>161910320</v>
      </c>
      <c r="H115" s="225"/>
      <c r="I115" s="225"/>
      <c r="J115" s="225"/>
      <c r="K115" s="226">
        <f>SUM(K116)</f>
        <v>161910320</v>
      </c>
    </row>
    <row r="116" spans="1:13" ht="14.25" thickBot="1">
      <c r="A116" s="60"/>
      <c r="B116" s="60"/>
      <c r="C116" s="134"/>
      <c r="D116" s="248" t="s">
        <v>118</v>
      </c>
      <c r="E116" s="249"/>
      <c r="F116" s="250"/>
      <c r="G116" s="251">
        <v>161910320</v>
      </c>
      <c r="H116" s="228"/>
      <c r="I116" s="228"/>
      <c r="J116" s="228"/>
      <c r="K116" s="252">
        <f>SUM(G116:J116)</f>
        <v>161910320</v>
      </c>
      <c r="M116" s="72"/>
    </row>
    <row r="117" spans="1:13" ht="14.25" thickBot="1">
      <c r="A117" s="60"/>
      <c r="B117" s="60"/>
      <c r="C117" s="134"/>
      <c r="D117" s="1360" t="s">
        <v>119</v>
      </c>
      <c r="E117" s="1361"/>
      <c r="F117" s="253"/>
      <c r="G117" s="254">
        <f>G118</f>
        <v>226674452</v>
      </c>
      <c r="H117" s="255"/>
      <c r="I117" s="255"/>
      <c r="J117" s="255"/>
      <c r="K117" s="256">
        <f>SUM(G117:J117)</f>
        <v>226674452</v>
      </c>
      <c r="M117" s="72"/>
    </row>
    <row r="118" spans="1:13" ht="14.25" thickBot="1">
      <c r="A118" s="60"/>
      <c r="B118" s="60"/>
      <c r="C118" s="134"/>
      <c r="D118" s="248" t="s">
        <v>120</v>
      </c>
      <c r="E118" s="249"/>
      <c r="F118" s="250"/>
      <c r="G118" s="257">
        <v>226674452</v>
      </c>
      <c r="H118" s="228"/>
      <c r="I118" s="228"/>
      <c r="J118" s="228"/>
      <c r="K118" s="252">
        <f>SUM(G118:J118)</f>
        <v>226674452</v>
      </c>
    </row>
    <row r="119" spans="1:13" ht="14.25" thickBot="1">
      <c r="A119" s="60"/>
      <c r="B119" s="60"/>
      <c r="C119" s="60"/>
      <c r="D119" s="50" t="s">
        <v>121</v>
      </c>
      <c r="E119" s="51"/>
      <c r="F119" s="52"/>
      <c r="G119" s="45">
        <f>SUM(G120:G123)</f>
        <v>57600000</v>
      </c>
      <c r="H119" s="86"/>
      <c r="I119" s="86"/>
      <c r="J119" s="86"/>
      <c r="K119" s="153">
        <f>SUM(K120:K123)</f>
        <v>57600000</v>
      </c>
    </row>
    <row r="120" spans="1:13">
      <c r="A120" s="60"/>
      <c r="B120" s="60"/>
      <c r="C120" s="134"/>
      <c r="D120" s="36" t="s">
        <v>122</v>
      </c>
      <c r="E120" s="46"/>
      <c r="F120" s="47"/>
      <c r="G120" s="41">
        <v>52000000</v>
      </c>
      <c r="H120" s="42"/>
      <c r="I120" s="49"/>
      <c r="J120" s="49"/>
      <c r="K120" s="43">
        <f>SUM(G120:J120)</f>
        <v>52000000</v>
      </c>
    </row>
    <row r="121" spans="1:13">
      <c r="A121" s="60"/>
      <c r="B121" s="60"/>
      <c r="C121" s="134"/>
      <c r="D121" s="248" t="s">
        <v>252</v>
      </c>
      <c r="E121" s="249"/>
      <c r="F121" s="250"/>
      <c r="G121" s="258">
        <v>3600000</v>
      </c>
      <c r="H121" s="228"/>
      <c r="I121" s="228"/>
      <c r="J121" s="228"/>
      <c r="K121" s="252">
        <f>SUM(G121:J121)</f>
        <v>3600000</v>
      </c>
    </row>
    <row r="122" spans="1:13">
      <c r="A122" s="60"/>
      <c r="B122" s="60"/>
      <c r="C122" s="134"/>
      <c r="D122" s="36" t="s">
        <v>124</v>
      </c>
      <c r="E122" s="216"/>
      <c r="F122" s="217"/>
      <c r="G122" s="41">
        <v>1000000</v>
      </c>
      <c r="H122" s="42"/>
      <c r="I122" s="42"/>
      <c r="J122" s="42"/>
      <c r="K122" s="43">
        <f>SUM(G122:J122)</f>
        <v>1000000</v>
      </c>
    </row>
    <row r="123" spans="1:13" ht="14.25" thickBot="1">
      <c r="A123" s="60"/>
      <c r="B123" s="60"/>
      <c r="C123" s="134"/>
      <c r="D123" s="36" t="s">
        <v>125</v>
      </c>
      <c r="E123" s="216"/>
      <c r="F123" s="217"/>
      <c r="G123" s="41">
        <v>1000000</v>
      </c>
      <c r="H123" s="42"/>
      <c r="I123" s="42"/>
      <c r="J123" s="42"/>
      <c r="K123" s="43">
        <f>SUM(G123:J123)</f>
        <v>1000000</v>
      </c>
    </row>
    <row r="124" spans="1:13" ht="14.25" thickBot="1">
      <c r="A124" s="55" t="s">
        <v>34</v>
      </c>
      <c r="B124" s="55"/>
      <c r="C124" s="55" t="s">
        <v>42</v>
      </c>
      <c r="D124" s="154"/>
      <c r="E124" s="53"/>
      <c r="F124" s="95"/>
      <c r="G124" s="45"/>
      <c r="H124" s="86">
        <f>H125</f>
        <v>20000000</v>
      </c>
      <c r="I124" s="86"/>
      <c r="J124" s="86"/>
      <c r="K124" s="135">
        <f>K125</f>
        <v>20000000</v>
      </c>
    </row>
    <row r="125" spans="1:13" ht="14.25" thickBot="1">
      <c r="A125" s="60"/>
      <c r="B125" s="60" t="s">
        <v>34</v>
      </c>
      <c r="C125" s="60"/>
      <c r="D125" s="36"/>
      <c r="E125" s="216"/>
      <c r="F125" s="217"/>
      <c r="G125" s="48"/>
      <c r="H125" s="49">
        <f>SUM(H126:H127)</f>
        <v>20000000</v>
      </c>
      <c r="I125" s="49"/>
      <c r="J125" s="49"/>
      <c r="K125" s="155">
        <f>K126</f>
        <v>20000000</v>
      </c>
    </row>
    <row r="126" spans="1:13" ht="14.25" thickBot="1">
      <c r="A126" s="60"/>
      <c r="B126" s="156"/>
      <c r="C126" s="157" t="s">
        <v>126</v>
      </c>
      <c r="D126" s="158" t="s">
        <v>126</v>
      </c>
      <c r="E126" s="159"/>
      <c r="F126" s="160"/>
      <c r="G126" s="161"/>
      <c r="H126" s="162">
        <v>20000000</v>
      </c>
      <c r="I126" s="162"/>
      <c r="J126" s="162"/>
      <c r="K126" s="87">
        <f>J126+H126+G126</f>
        <v>20000000</v>
      </c>
    </row>
    <row r="127" spans="1:13" ht="15" customHeight="1" thickBot="1">
      <c r="A127" s="60"/>
      <c r="B127" s="60"/>
      <c r="C127" s="134"/>
      <c r="D127" s="50"/>
      <c r="E127" s="51"/>
      <c r="F127" s="52"/>
      <c r="G127" s="45"/>
      <c r="H127" s="86"/>
      <c r="I127" s="86"/>
      <c r="J127" s="86"/>
      <c r="K127" s="135"/>
    </row>
    <row r="128" spans="1:13" ht="15" customHeight="1" thickBot="1">
      <c r="A128" s="55" t="s">
        <v>207</v>
      </c>
      <c r="B128" s="55"/>
      <c r="C128" s="55" t="s">
        <v>213</v>
      </c>
      <c r="D128" s="154"/>
      <c r="E128" s="53"/>
      <c r="F128" s="95"/>
      <c r="G128" s="91"/>
      <c r="H128" s="86"/>
      <c r="I128" s="86">
        <f>I129</f>
        <v>15120000</v>
      </c>
      <c r="J128" s="86"/>
      <c r="K128" s="135">
        <f>SUM(G128:J128)</f>
        <v>15120000</v>
      </c>
    </row>
    <row r="129" spans="1:14" ht="15" customHeight="1" thickBot="1">
      <c r="A129" s="60"/>
      <c r="B129" s="55" t="s">
        <v>207</v>
      </c>
      <c r="C129" s="55"/>
      <c r="D129" s="210"/>
      <c r="E129" s="51"/>
      <c r="F129" s="52"/>
      <c r="G129" s="45"/>
      <c r="H129" s="86"/>
      <c r="I129" s="86">
        <f>I130+I135</f>
        <v>15120000</v>
      </c>
      <c r="J129" s="86"/>
      <c r="K129" s="135">
        <f>SUM(G129:J129)</f>
        <v>15120000</v>
      </c>
    </row>
    <row r="130" spans="1:14" ht="15" customHeight="1" thickBot="1">
      <c r="A130" s="60"/>
      <c r="B130" s="60"/>
      <c r="C130" s="55" t="s">
        <v>208</v>
      </c>
      <c r="D130" s="210" t="s">
        <v>208</v>
      </c>
      <c r="E130" s="51"/>
      <c r="F130" s="52"/>
      <c r="G130" s="45"/>
      <c r="H130" s="86"/>
      <c r="I130" s="86">
        <f>SUM(I131:I134)</f>
        <v>6300000</v>
      </c>
      <c r="J130" s="92"/>
      <c r="K130" s="87">
        <f t="shared" ref="K130:K138" si="6">I130</f>
        <v>6300000</v>
      </c>
    </row>
    <row r="131" spans="1:14" ht="15" customHeight="1">
      <c r="A131" s="60"/>
      <c r="B131" s="60"/>
      <c r="C131" s="60"/>
      <c r="D131" s="220" t="s">
        <v>127</v>
      </c>
      <c r="E131" s="46"/>
      <c r="F131" s="47"/>
      <c r="G131" s="48"/>
      <c r="H131" s="49"/>
      <c r="I131" s="42">
        <v>2000000</v>
      </c>
      <c r="J131" s="42"/>
      <c r="K131" s="43">
        <f t="shared" si="6"/>
        <v>2000000</v>
      </c>
    </row>
    <row r="132" spans="1:14" ht="15" customHeight="1">
      <c r="A132" s="60"/>
      <c r="B132" s="60"/>
      <c r="C132" s="60"/>
      <c r="D132" s="220" t="s">
        <v>124</v>
      </c>
      <c r="E132" s="46"/>
      <c r="F132" s="47"/>
      <c r="G132" s="48"/>
      <c r="H132" s="49"/>
      <c r="I132" s="42">
        <v>2000000</v>
      </c>
      <c r="J132" s="42"/>
      <c r="K132" s="43">
        <f t="shared" si="6"/>
        <v>2000000</v>
      </c>
    </row>
    <row r="133" spans="1:14" ht="15" customHeight="1">
      <c r="A133" s="60"/>
      <c r="B133" s="60"/>
      <c r="C133" s="60"/>
      <c r="D133" s="220" t="s">
        <v>125</v>
      </c>
      <c r="E133" s="46"/>
      <c r="F133" s="47"/>
      <c r="G133" s="48"/>
      <c r="H133" s="49"/>
      <c r="I133" s="42">
        <v>2000000</v>
      </c>
      <c r="J133" s="42"/>
      <c r="K133" s="43">
        <f t="shared" si="6"/>
        <v>2000000</v>
      </c>
    </row>
    <row r="134" spans="1:14" ht="15" customHeight="1" thickBot="1">
      <c r="A134" s="60"/>
      <c r="B134" s="60"/>
      <c r="C134" s="60"/>
      <c r="D134" s="220" t="s">
        <v>128</v>
      </c>
      <c r="E134" s="46"/>
      <c r="F134" s="47"/>
      <c r="G134" s="48"/>
      <c r="H134" s="49"/>
      <c r="I134" s="42">
        <v>300000</v>
      </c>
      <c r="J134" s="42"/>
      <c r="K134" s="43">
        <f t="shared" si="6"/>
        <v>300000</v>
      </c>
    </row>
    <row r="135" spans="1:14" ht="15" customHeight="1" thickBot="1">
      <c r="A135" s="60"/>
      <c r="B135" s="60"/>
      <c r="C135" s="55" t="s">
        <v>209</v>
      </c>
      <c r="D135" s="93" t="s">
        <v>209</v>
      </c>
      <c r="E135" s="51"/>
      <c r="F135" s="52"/>
      <c r="G135" s="45"/>
      <c r="H135" s="86"/>
      <c r="I135" s="86">
        <f>SUM(I136:I138)</f>
        <v>8820000</v>
      </c>
      <c r="J135" s="92"/>
      <c r="K135" s="87">
        <f t="shared" si="6"/>
        <v>8820000</v>
      </c>
    </row>
    <row r="136" spans="1:14" ht="15" customHeight="1">
      <c r="A136" s="60"/>
      <c r="B136" s="60"/>
      <c r="C136" s="60"/>
      <c r="D136" s="220" t="s">
        <v>211</v>
      </c>
      <c r="E136" s="46"/>
      <c r="F136" s="47"/>
      <c r="G136" s="48"/>
      <c r="H136" s="49"/>
      <c r="I136" s="42">
        <v>4000000</v>
      </c>
      <c r="J136" s="42"/>
      <c r="K136" s="43">
        <f t="shared" si="6"/>
        <v>4000000</v>
      </c>
    </row>
    <row r="137" spans="1:14" ht="15" customHeight="1">
      <c r="A137" s="60"/>
      <c r="B137" s="60"/>
      <c r="C137" s="60"/>
      <c r="D137" s="220" t="s">
        <v>210</v>
      </c>
      <c r="E137" s="46"/>
      <c r="F137" s="47"/>
      <c r="G137" s="48"/>
      <c r="H137" s="49"/>
      <c r="I137" s="42">
        <v>4320000</v>
      </c>
      <c r="J137" s="42"/>
      <c r="K137" s="43">
        <f t="shared" si="6"/>
        <v>4320000</v>
      </c>
    </row>
    <row r="138" spans="1:14" ht="15" customHeight="1" thickBot="1">
      <c r="A138" s="60"/>
      <c r="B138" s="60"/>
      <c r="C138" s="60"/>
      <c r="D138" s="220" t="s">
        <v>212</v>
      </c>
      <c r="E138" s="46"/>
      <c r="F138" s="47"/>
      <c r="G138" s="48"/>
      <c r="H138" s="49"/>
      <c r="I138" s="42">
        <v>500000</v>
      </c>
      <c r="J138" s="42"/>
      <c r="K138" s="43">
        <f t="shared" si="6"/>
        <v>500000</v>
      </c>
    </row>
    <row r="139" spans="1:14" ht="15" customHeight="1" thickBot="1">
      <c r="A139" s="55" t="s">
        <v>36</v>
      </c>
      <c r="B139" s="55"/>
      <c r="C139" s="55" t="s">
        <v>42</v>
      </c>
      <c r="D139" s="154"/>
      <c r="E139" s="53"/>
      <c r="F139" s="95"/>
      <c r="G139" s="91"/>
      <c r="H139" s="92"/>
      <c r="I139" s="92"/>
      <c r="J139" s="86">
        <f>J140</f>
        <v>10800000</v>
      </c>
      <c r="K139" s="135">
        <f>K140</f>
        <v>10800000</v>
      </c>
    </row>
    <row r="140" spans="1:14" ht="15" customHeight="1" thickBot="1">
      <c r="A140" s="60"/>
      <c r="B140" s="55" t="s">
        <v>36</v>
      </c>
      <c r="C140" s="55"/>
      <c r="D140" s="50"/>
      <c r="E140" s="51"/>
      <c r="F140" s="52"/>
      <c r="G140" s="45"/>
      <c r="H140" s="86"/>
      <c r="I140" s="86"/>
      <c r="J140" s="163">
        <f>SUM(J141:J142)</f>
        <v>10800000</v>
      </c>
      <c r="K140" s="87">
        <f>SUM(K141:K142)</f>
        <v>10800000</v>
      </c>
    </row>
    <row r="141" spans="1:14" ht="15" customHeight="1">
      <c r="A141" s="60"/>
      <c r="B141" s="60"/>
      <c r="C141" s="59" t="s">
        <v>129</v>
      </c>
      <c r="D141" s="96" t="s">
        <v>214</v>
      </c>
      <c r="E141" s="97"/>
      <c r="F141" s="98"/>
      <c r="G141" s="80"/>
      <c r="H141" s="77"/>
      <c r="I141" s="77"/>
      <c r="J141" s="164">
        <v>10800000</v>
      </c>
      <c r="K141" s="99">
        <v>10800000</v>
      </c>
    </row>
    <row r="142" spans="1:14" ht="15" customHeight="1" thickBot="1">
      <c r="A142" s="60"/>
      <c r="B142" s="60"/>
      <c r="C142" s="60"/>
      <c r="D142" s="36"/>
      <c r="E142" s="216"/>
      <c r="F142" s="217"/>
      <c r="G142" s="41"/>
      <c r="H142" s="42"/>
      <c r="I142" s="42"/>
      <c r="J142" s="165"/>
      <c r="K142" s="43">
        <f>J142</f>
        <v>0</v>
      </c>
    </row>
    <row r="143" spans="1:14" ht="14.25" thickBot="1">
      <c r="A143" s="55" t="s">
        <v>130</v>
      </c>
      <c r="B143" s="55"/>
      <c r="C143" s="55"/>
      <c r="D143" s="154"/>
      <c r="E143" s="53"/>
      <c r="F143" s="95"/>
      <c r="G143" s="166">
        <f>G144</f>
        <v>39099988</v>
      </c>
      <c r="H143" s="86">
        <f>H144</f>
        <v>44000000</v>
      </c>
      <c r="I143" s="86">
        <f>I144</f>
        <v>9000000</v>
      </c>
      <c r="J143" s="86">
        <f>J144</f>
        <v>16202543</v>
      </c>
      <c r="K143" s="87">
        <f t="shared" ref="K143:K149" si="7">SUM(G143:J143)</f>
        <v>108302531</v>
      </c>
      <c r="N143" s="73"/>
    </row>
    <row r="144" spans="1:14" ht="14.25" thickBot="1">
      <c r="A144" s="167"/>
      <c r="B144" s="55" t="s">
        <v>130</v>
      </c>
      <c r="C144" s="55" t="s">
        <v>42</v>
      </c>
      <c r="D144" s="154"/>
      <c r="E144" s="53"/>
      <c r="F144" s="95"/>
      <c r="G144" s="86">
        <f>SUM(G145:G149)</f>
        <v>39099988</v>
      </c>
      <c r="H144" s="86">
        <f>SUM(H145:H149)</f>
        <v>44000000</v>
      </c>
      <c r="I144" s="86">
        <f>SUM(I145:I149)</f>
        <v>9000000</v>
      </c>
      <c r="J144" s="86">
        <f>SUM(J145:J149)</f>
        <v>16202543</v>
      </c>
      <c r="K144" s="135">
        <f t="shared" si="7"/>
        <v>108302531</v>
      </c>
      <c r="N144" s="168"/>
    </row>
    <row r="145" spans="1:14">
      <c r="A145" s="44"/>
      <c r="B145" s="44"/>
      <c r="C145" s="44" t="s">
        <v>131</v>
      </c>
      <c r="D145" s="171" t="s">
        <v>248</v>
      </c>
      <c r="E145" s="172"/>
      <c r="F145" s="173"/>
      <c r="G145" s="174">
        <v>39099988</v>
      </c>
      <c r="H145" s="175"/>
      <c r="I145" s="175"/>
      <c r="J145" s="175"/>
      <c r="K145" s="190">
        <f t="shared" si="7"/>
        <v>39099988</v>
      </c>
      <c r="N145" s="168"/>
    </row>
    <row r="146" spans="1:14">
      <c r="A146" s="44"/>
      <c r="B146" s="44"/>
      <c r="C146" s="44" t="s">
        <v>162</v>
      </c>
      <c r="D146" s="171" t="s">
        <v>246</v>
      </c>
      <c r="E146" s="172"/>
      <c r="F146" s="173"/>
      <c r="G146" s="174"/>
      <c r="H146" s="175"/>
      <c r="I146" s="175"/>
      <c r="J146" s="175">
        <v>5500000</v>
      </c>
      <c r="K146" s="170">
        <f t="shared" si="7"/>
        <v>5500000</v>
      </c>
      <c r="N146" s="168"/>
    </row>
    <row r="147" spans="1:14">
      <c r="A147" s="44"/>
      <c r="B147" s="44"/>
      <c r="C147" s="44" t="s">
        <v>132</v>
      </c>
      <c r="D147" s="171" t="s">
        <v>133</v>
      </c>
      <c r="E147" s="172"/>
      <c r="F147" s="173"/>
      <c r="G147" s="174"/>
      <c r="H147" s="176">
        <v>44000000</v>
      </c>
      <c r="I147" s="176"/>
      <c r="J147" s="176"/>
      <c r="K147" s="170">
        <f t="shared" si="7"/>
        <v>44000000</v>
      </c>
      <c r="N147" s="168"/>
    </row>
    <row r="148" spans="1:14">
      <c r="A148" s="169"/>
      <c r="B148" s="169"/>
      <c r="C148" s="177" t="s">
        <v>134</v>
      </c>
      <c r="D148" s="171" t="s">
        <v>247</v>
      </c>
      <c r="F148" s="178"/>
      <c r="G148" s="179"/>
      <c r="H148" s="180"/>
      <c r="I148" s="181">
        <v>9000000</v>
      </c>
      <c r="J148" s="181"/>
      <c r="K148" s="170">
        <f t="shared" si="7"/>
        <v>9000000</v>
      </c>
      <c r="N148" s="74"/>
    </row>
    <row r="149" spans="1:14" ht="14.25" thickBot="1">
      <c r="A149" s="182"/>
      <c r="B149" s="182"/>
      <c r="C149" s="183" t="s">
        <v>135</v>
      </c>
      <c r="D149" s="100" t="s">
        <v>183</v>
      </c>
      <c r="E149" s="184"/>
      <c r="F149" s="185"/>
      <c r="G149" s="186"/>
      <c r="H149" s="187"/>
      <c r="I149" s="188"/>
      <c r="J149" s="188">
        <v>10702543</v>
      </c>
      <c r="K149" s="189">
        <f t="shared" si="7"/>
        <v>10702543</v>
      </c>
    </row>
  </sheetData>
  <mergeCells count="32">
    <mergeCell ref="E104:F104"/>
    <mergeCell ref="E105:F105"/>
    <mergeCell ref="D107:F107"/>
    <mergeCell ref="D113:F113"/>
    <mergeCell ref="D117:E117"/>
    <mergeCell ref="E103:F10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D101:E101"/>
    <mergeCell ref="E102:F102"/>
    <mergeCell ref="E53:F53"/>
    <mergeCell ref="A1:K1"/>
    <mergeCell ref="A2:K2"/>
    <mergeCell ref="A3:C3"/>
    <mergeCell ref="D3:F4"/>
    <mergeCell ref="G3:G4"/>
    <mergeCell ref="H3:H4"/>
    <mergeCell ref="I3:I4"/>
    <mergeCell ref="J3:J4"/>
    <mergeCell ref="K3:K4"/>
    <mergeCell ref="A5:C5"/>
    <mergeCell ref="D5:F5"/>
    <mergeCell ref="D12:F12"/>
    <mergeCell ref="E51:F51"/>
    <mergeCell ref="E52:F52"/>
  </mergeCells>
  <phoneticPr fontId="3" type="noConversion"/>
  <printOptions horizontalCentered="1"/>
  <pageMargins left="0.25" right="0.25" top="0.75" bottom="0.75" header="0.3" footer="0.3"/>
  <pageSetup paperSize="8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12</vt:i4>
      </vt:variant>
    </vt:vector>
  </HeadingPairs>
  <TitlesOfParts>
    <vt:vector size="20" baseType="lpstr">
      <vt:lpstr>2025년 표지</vt:lpstr>
      <vt:lpstr>세입세출총괄표</vt:lpstr>
      <vt:lpstr>세입세출요약표</vt:lpstr>
      <vt:lpstr>세입추경예산서(음영)</vt:lpstr>
      <vt:lpstr>세입추경예산서</vt:lpstr>
      <vt:lpstr>세출추경예산서</vt:lpstr>
      <vt:lpstr>직원보수일람표</vt:lpstr>
      <vt:lpstr>세입예산서 사통망작성용</vt:lpstr>
      <vt:lpstr>'2025년 표지'!Print_Area</vt:lpstr>
      <vt:lpstr>세입세출요약표!Print_Area</vt:lpstr>
      <vt:lpstr>세입세출총괄표!Print_Area</vt:lpstr>
      <vt:lpstr>'세입예산서 사통망작성용'!Print_Area</vt:lpstr>
      <vt:lpstr>세입추경예산서!Print_Area</vt:lpstr>
      <vt:lpstr>'세입추경예산서(음영)'!Print_Area</vt:lpstr>
      <vt:lpstr>세출추경예산서!Print_Area</vt:lpstr>
      <vt:lpstr>직원보수일람표!Print_Area</vt:lpstr>
      <vt:lpstr>'세입예산서 사통망작성용'!Print_Titles</vt:lpstr>
      <vt:lpstr>세입추경예산서!Print_Titles</vt:lpstr>
      <vt:lpstr>'세입추경예산서(음영)'!Print_Titles</vt:lpstr>
      <vt:lpstr>세출추경예산서!Print_Titles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양평쉼터5</dc:creator>
  <cp:lastModifiedBy>ypshelter5</cp:lastModifiedBy>
  <cp:lastPrinted>2025-07-03T03:07:50Z</cp:lastPrinted>
  <dcterms:created xsi:type="dcterms:W3CDTF">2020-10-22T00:14:55Z</dcterms:created>
  <dcterms:modified xsi:type="dcterms:W3CDTF">2025-10-13T06:31:05Z</dcterms:modified>
</cp:coreProperties>
</file>